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760" activeTab="1"/>
  </bookViews>
  <sheets>
    <sheet name="1 подпр" sheetId="1" r:id="rId1"/>
    <sheet name="2 подпр " sheetId="2" r:id="rId2"/>
    <sheet name="свод" sheetId="3" r:id="rId3"/>
    <sheet name="пояснительная" sheetId="4" r:id="rId4"/>
    <sheet name="расшифровка" sheetId="5" r:id="rId5"/>
  </sheets>
  <definedNames>
    <definedName name="_xlnm.Print_Titles" localSheetId="0">'1 подпр'!$4:$7</definedName>
    <definedName name="_xlnm.Print_Titles" localSheetId="1">'2 подпр '!$4:$7</definedName>
    <definedName name="_xlnm.Print_Area" localSheetId="0">'1 подпр'!$A$1:$AC$68</definedName>
    <definedName name="_xlnm.Print_Area" localSheetId="1">'2 подпр '!$A$1:$Z$75</definedName>
  </definedNames>
  <calcPr fullCalcOnLoad="1"/>
</workbook>
</file>

<file path=xl/sharedStrings.xml><?xml version="1.0" encoding="utf-8"?>
<sst xmlns="http://schemas.openxmlformats.org/spreadsheetml/2006/main" count="374" uniqueCount="161">
  <si>
    <t>Всего</t>
  </si>
  <si>
    <t>Исполнитель</t>
  </si>
  <si>
    <t>1.1.</t>
  </si>
  <si>
    <t>1.</t>
  </si>
  <si>
    <t>1.2.</t>
  </si>
  <si>
    <t>Выполнение работ по вовлечению молодежи в социальную практику</t>
  </si>
  <si>
    <t>Выполнение социально-профилактической работы среди молодежи</t>
  </si>
  <si>
    <t>1.5.</t>
  </si>
  <si>
    <t>2.</t>
  </si>
  <si>
    <t>2.1.</t>
  </si>
  <si>
    <t>2.2.</t>
  </si>
  <si>
    <t>2.3.</t>
  </si>
  <si>
    <t>3.</t>
  </si>
  <si>
    <t>3.2.</t>
  </si>
  <si>
    <t>МБУ  "Музей истории города Кандалакша"</t>
  </si>
  <si>
    <t>Осуществление библиотечного, библиографического и информационного обслуживания пользователей</t>
  </si>
  <si>
    <t>Предоставление доступа к справочно-поисковому аппарату и базам данных библиотек</t>
  </si>
  <si>
    <t>Предоставление доступа к изданиям, переведенным в электронный вид, хранящимся в муниципальным библиотеках, в том числе к фонду редких книг, с учетом требований законодательства Российской Федерации об авторских и смежных правах</t>
  </si>
  <si>
    <t>Работа по формированию и учету фондов библиотек.</t>
  </si>
  <si>
    <t>Работа по библиографической обработке документов и организации каталогов</t>
  </si>
  <si>
    <t>Обеспечение физического сохранения и  безопасности фонда библиотек</t>
  </si>
  <si>
    <t>Методическая работа в установленной сфере деятельности</t>
  </si>
  <si>
    <t xml:space="preserve">МБУ "Кандалакшская ЦБС" </t>
  </si>
  <si>
    <t>МБУ "Кандалакшская ЦБС"</t>
  </si>
  <si>
    <t>3.1.</t>
  </si>
  <si>
    <t>МБУ "Музей истории города Кандалакша"</t>
  </si>
  <si>
    <t>Общая сумма финансирования</t>
  </si>
  <si>
    <t>Работа по проведению фестивалей, выставок, смотров, конкурсов, конференций и городских праздничных мероприятий</t>
  </si>
  <si>
    <t>1.3.</t>
  </si>
  <si>
    <t>1.4.</t>
  </si>
  <si>
    <t>2019 год</t>
  </si>
  <si>
    <t>2020 год</t>
  </si>
  <si>
    <t>2021 год</t>
  </si>
  <si>
    <t>План реализации мероприятий подпрограммы 1 "Наследие"</t>
  </si>
  <si>
    <t>Всего по подпрограмме 1 "Наследие"</t>
  </si>
  <si>
    <t>Наименование задач, мероприятий</t>
  </si>
  <si>
    <t>тыс.руб.</t>
  </si>
  <si>
    <t>№№ п/п</t>
  </si>
  <si>
    <t>Итого</t>
  </si>
  <si>
    <t>ФБ</t>
  </si>
  <si>
    <t>ОБ</t>
  </si>
  <si>
    <t>МБ</t>
  </si>
  <si>
    <t>Основное мероприятие 1. "Мероприятия, направленные на сохранение объектов культурного наследия"</t>
  </si>
  <si>
    <t>Создание проектно-сметной документации для ремонта городского воинского мемориала</t>
  </si>
  <si>
    <t>Создание охранных зон для воинских захоронений</t>
  </si>
  <si>
    <t>Основное мероприятие 2. "Библиотечное обслуживание населения муниципального образования, комплектование и обеспечение сохранности библиотечных фондов библиотек поселения"</t>
  </si>
  <si>
    <t>Комплектование книжного фонда</t>
  </si>
  <si>
    <t>Основное мероприятие 3. "Организация музейной деятельности и музейное обслуживание населения. Предоставление доступа к музейным коллекциям (фондам)"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</si>
  <si>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</si>
  <si>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План реализации мероприятий подпрограммы 2 "Искусство"</t>
  </si>
  <si>
    <t>Всего по подпрограмме 2 "Искусство"</t>
  </si>
  <si>
    <t>Основное мероприятие 1. "Повышение доступности, качества услуг в культурно-досуговой сфере, поддержка традиционной народной культуры, организация досуга населения"</t>
  </si>
  <si>
    <t>МБУ ДК "Металлург"</t>
  </si>
  <si>
    <t>1.6.</t>
  </si>
  <si>
    <t>Проведение грантового конкурса среди специалистов учреждений культуры</t>
  </si>
  <si>
    <t>Обучающие семинары по отдельным направлениям деятельности культурно-досуговых учреждений</t>
  </si>
  <si>
    <t>Проведение городских праздничных мероприятий, творческих конкурсов, фестивалей. Обеспечение участия творческих коллективов в региональных и всероссийских конкурсах</t>
  </si>
  <si>
    <t>Проведение праздничных мероприятий</t>
  </si>
  <si>
    <t>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</si>
  <si>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Создание виртуальных концертных залов</t>
  </si>
  <si>
    <t>Основное мероприятие А3. Федеральный проект "Цифровая культура"</t>
  </si>
  <si>
    <r>
      <t>Обеспечение сохранения уровня заработной платы (</t>
    </r>
    <r>
      <rPr>
        <b/>
        <sz val="9"/>
        <color indexed="8"/>
        <rFont val="Times New Roman"/>
        <family val="1"/>
      </rPr>
      <t>выполнение Указов президента</t>
    </r>
    <r>
      <rPr>
        <sz val="9"/>
        <color indexed="8"/>
        <rFont val="Times New Roman"/>
        <family val="1"/>
      </rPr>
      <t>)</t>
    </r>
  </si>
  <si>
    <r>
      <t>Реализация мер социальной поддержки (</t>
    </r>
    <r>
      <rPr>
        <b/>
        <sz val="9"/>
        <color indexed="8"/>
        <rFont val="Times New Roman"/>
        <family val="1"/>
      </rPr>
      <t>25% селькая местность</t>
    </r>
    <r>
      <rPr>
        <sz val="9"/>
        <color indexed="8"/>
        <rFont val="Times New Roman"/>
        <family val="1"/>
      </rPr>
      <t>)</t>
    </r>
  </si>
  <si>
    <r>
      <t>Доведение оплаты труда до минимального размера оплаты труда (</t>
    </r>
    <r>
      <rPr>
        <b/>
        <sz val="9"/>
        <color indexed="8"/>
        <rFont val="Times New Roman"/>
        <family val="1"/>
      </rPr>
      <t>обеспечение МРОТ</t>
    </r>
    <r>
      <rPr>
        <sz val="9"/>
        <color indexed="8"/>
        <rFont val="Times New Roman"/>
        <family val="1"/>
      </rPr>
      <t>)</t>
    </r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</si>
  <si>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поселения,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</si>
  <si>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r>
      <t xml:space="preserve">Организация музейной деятельности и музейное обслуживание населения. Предоставление доступа к музейным коллекциям (фондам),            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</si>
  <si>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</si>
  <si>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Обустройство территории для установки детской площадки</t>
  </si>
  <si>
    <t>Основное мероприятие 2. "Ремонт культурно-досуговых учреждений"</t>
  </si>
  <si>
    <t>2.4.</t>
  </si>
  <si>
    <t>4.1.</t>
  </si>
  <si>
    <t>Установка пластиковых окон</t>
  </si>
  <si>
    <t>4.2.</t>
  </si>
  <si>
    <t>Ремонт помещений</t>
  </si>
  <si>
    <t>Разработка сметной документации на ремонт кровли, фасада, отмостки ГКЦ "Нива"</t>
  </si>
  <si>
    <t>№1</t>
  </si>
  <si>
    <t>ВСЕГО</t>
  </si>
  <si>
    <t>№2</t>
  </si>
  <si>
    <t>Ремонт кровли  здания филиала сельского Дома культуры н.п. Белое море</t>
  </si>
  <si>
    <t>Основное мероприятие 4. "Ремонт учреждений библиотечной системы, музеев"</t>
  </si>
  <si>
    <t>Основное мероприятие 5. "Библиотечное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Алакуртти"</t>
  </si>
  <si>
    <t>5.</t>
  </si>
  <si>
    <t>5.1.</t>
  </si>
  <si>
    <t>5.2.</t>
  </si>
  <si>
    <t>5.3.</t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</si>
  <si>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Алакуртти,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</si>
  <si>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6.</t>
  </si>
  <si>
    <t>Основное мероприятие 6. "Библиотечное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Зареченск"</t>
  </si>
  <si>
    <r>
      <t xml:space="preserve">Библиотечное обслуживание населения муниципального образования, комплектование и обеспечение сохранности библиотечных фондов библиотек сельского поселения Зареченск,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</si>
  <si>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6.1.</t>
  </si>
  <si>
    <t>6.2.</t>
  </si>
  <si>
    <t>6.3.</t>
  </si>
  <si>
    <t>МБУКДЦ "Космос"</t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</si>
  <si>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Зареченск,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</si>
  <si>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>4.</t>
  </si>
  <si>
    <r>
      <t xml:space="preserve">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Алакуртти,                                                              </t>
    </r>
    <r>
      <rPr>
        <b/>
        <u val="single"/>
        <sz val="9"/>
        <color indexed="8"/>
        <rFont val="Times New Roman"/>
        <family val="1"/>
      </rPr>
      <t>из них:</t>
    </r>
  </si>
  <si>
    <t xml:space="preserve">Отдел по культуре  </t>
  </si>
  <si>
    <t xml:space="preserve">Отдел по культуре </t>
  </si>
  <si>
    <t>2022 год</t>
  </si>
  <si>
    <t>Основное мероприятие 4. "Повышение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Алакуртти"</t>
  </si>
  <si>
    <t>Основное мероприятие 5. "Повышение доступности, качества услуг в культурно-досуговой сфере, поддержка традиционной народной культуры, организация досуга населения сельского поселения Зареченск"</t>
  </si>
  <si>
    <t>4.3.</t>
  </si>
  <si>
    <t>Ремонт цокольных помещений здания МБУ Дворец культуры "Металлург"</t>
  </si>
  <si>
    <t>Капитальный ремонт системы отопления здания МБУ Дворец культуры "Металлург"</t>
  </si>
  <si>
    <t>Проведение ремонтных работ и укрепление материально-технической базы муниципальных учреждений культуры и образования в сфере культуры и искусства, в т.ч.:</t>
  </si>
  <si>
    <t>Ремонт фасада здания МБУ КДЦ "Космос" с.п. Зареченск</t>
  </si>
  <si>
    <t>Разработка проектной документации на строительство здания дома культуры с.п. Алакуртти</t>
  </si>
  <si>
    <t>4.4.</t>
  </si>
  <si>
    <t>Отдел по культуре</t>
  </si>
  <si>
    <t>Задача 1. "Сохранение, использование, популяризация и охрана объектов культурного наследия (памятников истории и культуры) народов Российской Федерации, расположенных на территории муниципального образования в рамках исполняемых полномочий. "</t>
  </si>
  <si>
    <t>Задача 2. "Повышение доступности и качества библиотечных услуг для населения городского поселения Кандалакша."</t>
  </si>
  <si>
    <t>Задача 3. "Обеспечение сохранности музейных фондов и повышение доступности, качества услуг музеев для населения городского поселения Кандалакша."</t>
  </si>
  <si>
    <t>Задача 4. "Укрепление материально-технической базы, ремонт и реконструкция учреждений библиотечной системы, музеев городского поселения Кандалакша."</t>
  </si>
  <si>
    <t>Задача 5. "Организация библиотечного обслуживания населения,                                                                                                                                                                                                                                                                                  комплектование и обеспечение сохранности библиотечных фондов библиотек сельского поселения Алакуртти"</t>
  </si>
  <si>
    <t>Задача 6. "Организация библиотечного обслуживания населения комплектование и обеспечение сохранности библиотечных фондов библиотек сельского поселения Зареченск."</t>
  </si>
  <si>
    <t>Задача 1. "Повышение доступности и качества услуг в культурно-досуговой сфере и поддержка традиционной народной культуры  городского поселения Кандалакша."</t>
  </si>
  <si>
    <t>Задача 2. "Укрепление материально-технической базы, ремонт и реконструкция культурно-досуговых учреждений городского поселения Кандалакша."</t>
  </si>
  <si>
    <t>Задача 3. "Повышение доступности и качества услуг в культурно-досуговой сфере и поддержка традиционной народной культуры сельского поселения Алакуртти."</t>
  </si>
  <si>
    <t>Задача 4. "Повышение доступности и качества услуг в культурно-досуговой сфере и поддержка традиционной народной культуры сельского поселения Зареченск."</t>
  </si>
  <si>
    <t>МБТ</t>
  </si>
  <si>
    <t>МБТ, в т. ч.</t>
  </si>
  <si>
    <t>\</t>
  </si>
  <si>
    <t>Изготовление дизайн-проекта интерьера городской библиотеки № 3 МБУ "Кандалакшская ЦБС"</t>
  </si>
  <si>
    <t>5.4.</t>
  </si>
  <si>
    <t>Разработка проектно-сметной документации на капитальный ремонт части помещений и фасада МБУ КДЦ "Космос"</t>
  </si>
  <si>
    <t xml:space="preserve"> </t>
  </si>
  <si>
    <t>4.5.</t>
  </si>
  <si>
    <t>4.6.</t>
  </si>
  <si>
    <t>4.7.</t>
  </si>
  <si>
    <t>4.8.</t>
  </si>
  <si>
    <t>Внесение изменений в проектно-сметную (сметную) документацию на ремонт библиотеки МБУ "Кандалакшская ЦБС"</t>
  </si>
  <si>
    <t>Составление акта о техническом состоянии конструкций зданий библиотек МБУ "Кандалакшская ЦБС"</t>
  </si>
  <si>
    <t>Строительный контроль выполнения ремонта библиотеки МБУ "Кандалакшская ЦБС"</t>
  </si>
  <si>
    <t>Оплата обязательств отчетного финансового года, возникших при исполнении муниципального задания</t>
  </si>
  <si>
    <t>1.7.</t>
  </si>
  <si>
    <t>Изготовление дизайн-проекта фасада городской библиотеки № 3 МБУ "Кандалакшская ЦБС"</t>
  </si>
  <si>
    <t>2.5.</t>
  </si>
  <si>
    <r>
      <t xml:space="preserve">Ремонт кровли, фасада и отмостки </t>
    </r>
    <r>
      <rPr>
        <sz val="9"/>
        <color indexed="8"/>
        <rFont val="Times New Roman"/>
        <family val="1"/>
      </rPr>
      <t>ГКЦ "Нива" МБУ Дворец культуры "Металлург"</t>
    </r>
  </si>
  <si>
    <t>Разработка дизайн-проекта для ремонта фасада здания филиала ГКЦ "Нива" МБУ Дворец культуры "Металлург"</t>
  </si>
  <si>
    <t>Ремонт фойе первого этажа, гардероба и входной группы , коридоров первого этажа здания МБУ "Дворец культуры "Металлург"</t>
  </si>
  <si>
    <t xml:space="preserve">Приобретение дополнительных световых элементов для установки на фасад здания филиала ГКЦ "Нива" МБУ Дворец культуры "Металлург" </t>
  </si>
  <si>
    <t>Ремонт 5 крылец, облицовка козырька здания филиала ГКЦ "Нива" МБУ Дворец культуры "Металлург", проведение электромонтажных работ для подключения дополнительных световых элементов на фасад здания филиала ГКЦ "Нива" МБУ Дворец культуры "Металлург"</t>
  </si>
  <si>
    <t xml:space="preserve">Приложение к постановлению администрации
муниципального образования Кандалакшский район
 №______ от « ____» ___________2020
</t>
  </si>
  <si>
    <t>1.8.</t>
  </si>
  <si>
    <t>Предоставление грантов в форме субсидий на реализацию проектов в области культуры и искусства в Кандалакшском районе</t>
  </si>
  <si>
    <t>2.6.</t>
  </si>
  <si>
    <t>Осуществление контроля при выполнении ремонтных работ</t>
  </si>
  <si>
    <t>Осуществление строительного контроля за выполнением капитального ремонта системы отопления здания МБУ Дворец культуры "Металлург"</t>
  </si>
  <si>
    <t>Осуществление контроля за выполнением ремонта кровли, фасада и отмостки ГКЦ "Нива" МБУ Дворец культуры "Металлург"</t>
  </si>
  <si>
    <t>Ремонт библиотеки МБУ "Кандалакшская ЦБС" (включая ремонт входной группы с устройством пандуса, ремонт пожарной и охранной сигнализаций)</t>
  </si>
  <si>
    <t>Разработка проектно-сметной документации на капитальный ремонт здания филиала МБУ "Дворец культуры "Металлург" СДК с. Лувеньга</t>
  </si>
  <si>
    <t>Разработка проектно-сметной документации на капитальный ремонт помещений и входных групп центральной библиотеки имени Н. В. Колычева МБУ "Кандалакшская ЦБС"</t>
  </si>
  <si>
    <t>Разработка проектно-сметной документации на капитальный ремонт части здания филиала МБУ "Дворец культуры "Металлург" ГКЦ "Нива"</t>
  </si>
  <si>
    <t>1.9.</t>
  </si>
  <si>
    <t>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</si>
  <si>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>Основное мероприятие К1. "Расходы,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экономики"</t>
  </si>
  <si>
    <t>Разработка проектно-сметной документации для проведения ремонта воинского захоронения</t>
  </si>
  <si>
    <t>Оборудование помещений средствами автоматической пожарной сигнализации</t>
  </si>
  <si>
    <t>2.7.</t>
  </si>
  <si>
    <t>Текущий ремонт фасада здания МБУ Дворец культуры "Металлург"</t>
  </si>
  <si>
    <t xml:space="preserve">Приложение к постановлению администрации
муниципального образования Кандалакшский район
 № 1294 от 15.10.2020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</si>
</sst>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#,##0.000000"/>
    <numFmt numFmtId="184" formatCode="#,##0.0"/>
    <numFmt numFmtId="185" formatCode="0.000000"/>
    <numFmt numFmtId="186" formatCode="0.0000"/>
    <numFmt numFmtId="187" formatCode="#,##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justify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 wrapText="1" shrinkToFit="1"/>
    </xf>
    <xf numFmtId="0" fontId="2" fillId="34" borderId="0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justify" wrapText="1" shrinkToFit="1"/>
    </xf>
    <xf numFmtId="0" fontId="2" fillId="34" borderId="12" xfId="0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left" vertical="justify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6" fontId="2" fillId="34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 shrinkToFit="1"/>
    </xf>
    <xf numFmtId="181" fontId="3" fillId="35" borderId="10" xfId="0" applyNumberFormat="1" applyFont="1" applyFill="1" applyBorder="1" applyAlignment="1">
      <alignment horizontal="center" vertical="center" wrapText="1" shrinkToFit="1"/>
    </xf>
    <xf numFmtId="0" fontId="3" fillId="36" borderId="11" xfId="0" applyFont="1" applyFill="1" applyBorder="1" applyAlignment="1">
      <alignment horizontal="center" vertical="center" wrapText="1" shrinkToFit="1"/>
    </xf>
    <xf numFmtId="1" fontId="2" fillId="34" borderId="10" xfId="0" applyNumberFormat="1" applyFont="1" applyFill="1" applyBorder="1" applyAlignment="1">
      <alignment horizontal="center" vertical="center" wrapText="1" shrinkToFit="1"/>
    </xf>
    <xf numFmtId="1" fontId="2" fillId="35" borderId="10" xfId="0" applyNumberFormat="1" applyFont="1" applyFill="1" applyBorder="1" applyAlignment="1">
      <alignment horizontal="center" vertical="center" wrapText="1" shrinkToFit="1"/>
    </xf>
    <xf numFmtId="1" fontId="3" fillId="36" borderId="10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186" fontId="49" fillId="0" borderId="0" xfId="0" applyNumberFormat="1" applyFont="1" applyAlignment="1">
      <alignment/>
    </xf>
    <xf numFmtId="1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186" fontId="50" fillId="0" borderId="0" xfId="0" applyNumberFormat="1" applyFont="1" applyFill="1" applyAlignment="1">
      <alignment/>
    </xf>
    <xf numFmtId="1" fontId="2" fillId="35" borderId="10" xfId="0" applyNumberFormat="1" applyFont="1" applyFill="1" applyBorder="1" applyAlignment="1">
      <alignment horizontal="center" vertical="center" wrapText="1" shrinkToFit="1"/>
    </xf>
    <xf numFmtId="1" fontId="2" fillId="36" borderId="10" xfId="0" applyNumberFormat="1" applyFont="1" applyFill="1" applyBorder="1" applyAlignment="1">
      <alignment horizontal="center" vertical="center" wrapText="1" shrinkToFit="1"/>
    </xf>
    <xf numFmtId="187" fontId="50" fillId="0" borderId="10" xfId="0" applyNumberFormat="1" applyFont="1" applyBorder="1" applyAlignment="1">
      <alignment/>
    </xf>
    <xf numFmtId="187" fontId="50" fillId="37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7" borderId="0" xfId="0" applyFont="1" applyFill="1" applyAlignment="1">
      <alignment/>
    </xf>
    <xf numFmtId="0" fontId="49" fillId="38" borderId="0" xfId="0" applyFont="1" applyFill="1" applyAlignment="1">
      <alignment/>
    </xf>
    <xf numFmtId="0" fontId="51" fillId="39" borderId="0" xfId="0" applyFont="1" applyFill="1" applyAlignment="1">
      <alignment horizontal="center"/>
    </xf>
    <xf numFmtId="0" fontId="49" fillId="0" borderId="10" xfId="0" applyFont="1" applyBorder="1" applyAlignment="1">
      <alignment/>
    </xf>
    <xf numFmtId="3" fontId="52" fillId="37" borderId="10" xfId="52" applyNumberFormat="1" applyFont="1" applyFill="1" applyBorder="1" applyAlignment="1">
      <alignment horizontal="center"/>
      <protection/>
    </xf>
    <xf numFmtId="3" fontId="52" fillId="38" borderId="10" xfId="52" applyNumberFormat="1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184" fontId="51" fillId="39" borderId="10" xfId="52" applyNumberFormat="1" applyFont="1" applyFill="1" applyBorder="1" applyAlignment="1">
      <alignment horizontal="center"/>
      <protection/>
    </xf>
    <xf numFmtId="184" fontId="51" fillId="39" borderId="0" xfId="52" applyNumberFormat="1" applyFont="1" applyFill="1" applyBorder="1" applyAlignment="1">
      <alignment horizontal="center"/>
      <protection/>
    </xf>
    <xf numFmtId="180" fontId="49" fillId="0" borderId="0" xfId="0" applyNumberFormat="1" applyFont="1" applyFill="1" applyAlignment="1">
      <alignment/>
    </xf>
    <xf numFmtId="185" fontId="50" fillId="0" borderId="0" xfId="0" applyNumberFormat="1" applyFont="1" applyFill="1" applyAlignment="1">
      <alignment/>
    </xf>
    <xf numFmtId="186" fontId="53" fillId="0" borderId="0" xfId="0" applyNumberFormat="1" applyFont="1" applyFill="1" applyAlignment="1">
      <alignment/>
    </xf>
    <xf numFmtId="1" fontId="52" fillId="37" borderId="10" xfId="52" applyNumberFormat="1" applyFont="1" applyFill="1" applyBorder="1" applyAlignment="1">
      <alignment horizontal="center"/>
      <protection/>
    </xf>
    <xf numFmtId="1" fontId="52" fillId="38" borderId="10" xfId="52" applyNumberFormat="1" applyFont="1" applyFill="1" applyBorder="1" applyAlignment="1">
      <alignment horizontal="center"/>
      <protection/>
    </xf>
    <xf numFmtId="184" fontId="49" fillId="0" borderId="0" xfId="0" applyNumberFormat="1" applyFont="1" applyFill="1" applyAlignment="1">
      <alignment/>
    </xf>
    <xf numFmtId="182" fontId="4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4" fontId="50" fillId="0" borderId="0" xfId="0" applyNumberFormat="1" applyFont="1" applyFill="1" applyAlignment="1">
      <alignment/>
    </xf>
    <xf numFmtId="186" fontId="49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87" fontId="49" fillId="0" borderId="0" xfId="0" applyNumberFormat="1" applyFont="1" applyFill="1" applyAlignment="1">
      <alignment/>
    </xf>
    <xf numFmtId="185" fontId="49" fillId="0" borderId="10" xfId="0" applyNumberFormat="1" applyFont="1" applyBorder="1" applyAlignment="1">
      <alignment/>
    </xf>
    <xf numFmtId="185" fontId="49" fillId="37" borderId="0" xfId="0" applyNumberFormat="1" applyFont="1" applyFill="1" applyAlignment="1">
      <alignment/>
    </xf>
    <xf numFmtId="185" fontId="49" fillId="38" borderId="0" xfId="0" applyNumberFormat="1" applyFont="1" applyFill="1" applyAlignment="1">
      <alignment/>
    </xf>
    <xf numFmtId="185" fontId="49" fillId="0" borderId="0" xfId="0" applyNumberFormat="1" applyFont="1" applyAlignment="1">
      <alignment/>
    </xf>
    <xf numFmtId="1" fontId="49" fillId="0" borderId="10" xfId="0" applyNumberFormat="1" applyFont="1" applyBorder="1" applyAlignment="1">
      <alignment/>
    </xf>
    <xf numFmtId="187" fontId="49" fillId="37" borderId="10" xfId="0" applyNumberFormat="1" applyFont="1" applyFill="1" applyBorder="1" applyAlignment="1">
      <alignment/>
    </xf>
    <xf numFmtId="187" fontId="49" fillId="0" borderId="10" xfId="0" applyNumberFormat="1" applyFont="1" applyBorder="1" applyAlignment="1">
      <alignment/>
    </xf>
    <xf numFmtId="187" fontId="49" fillId="38" borderId="10" xfId="0" applyNumberFormat="1" applyFont="1" applyFill="1" applyBorder="1" applyAlignment="1">
      <alignment/>
    </xf>
    <xf numFmtId="182" fontId="5" fillId="38" borderId="10" xfId="0" applyNumberFormat="1" applyFont="1" applyFill="1" applyBorder="1" applyAlignment="1">
      <alignment horizontal="center" vertical="center" wrapText="1" shrinkToFit="1"/>
    </xf>
    <xf numFmtId="0" fontId="2" fillId="38" borderId="0" xfId="0" applyFont="1" applyFill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81" fontId="6" fillId="35" borderId="10" xfId="0" applyNumberFormat="1" applyFont="1" applyFill="1" applyBorder="1" applyAlignment="1">
      <alignment horizontal="center" vertical="center" wrapText="1" shrinkToFit="1"/>
    </xf>
    <xf numFmtId="187" fontId="6" fillId="35" borderId="10" xfId="0" applyNumberFormat="1" applyFont="1" applyFill="1" applyBorder="1" applyAlignment="1">
      <alignment horizontal="center" vertical="center" wrapText="1" shrinkToFit="1"/>
    </xf>
    <xf numFmtId="181" fontId="2" fillId="35" borderId="10" xfId="0" applyNumberFormat="1" applyFont="1" applyFill="1" applyBorder="1" applyAlignment="1">
      <alignment horizontal="center" vertical="center" wrapText="1" shrinkToFit="1"/>
    </xf>
    <xf numFmtId="181" fontId="2" fillId="36" borderId="10" xfId="0" applyNumberFormat="1" applyFont="1" applyFill="1" applyBorder="1" applyAlignment="1">
      <alignment horizontal="center" vertical="center" wrapText="1" shrinkToFit="1"/>
    </xf>
    <xf numFmtId="187" fontId="6" fillId="36" borderId="10" xfId="0" applyNumberFormat="1" applyFont="1" applyFill="1" applyBorder="1" applyAlignment="1">
      <alignment horizontal="center" vertical="center" wrapText="1" shrinkToFit="1"/>
    </xf>
    <xf numFmtId="181" fontId="2" fillId="34" borderId="11" xfId="0" applyNumberFormat="1" applyFont="1" applyFill="1" applyBorder="1" applyAlignment="1">
      <alignment horizontal="center" vertical="center" wrapText="1" shrinkToFit="1"/>
    </xf>
    <xf numFmtId="187" fontId="6" fillId="34" borderId="10" xfId="0" applyNumberFormat="1" applyFont="1" applyFill="1" applyBorder="1" applyAlignment="1">
      <alignment horizontal="center" vertical="center" wrapText="1" shrinkToFit="1"/>
    </xf>
    <xf numFmtId="187" fontId="5" fillId="34" borderId="10" xfId="0" applyNumberFormat="1" applyFont="1" applyFill="1" applyBorder="1" applyAlignment="1">
      <alignment horizontal="center" vertical="center" wrapText="1" shrinkToFit="1"/>
    </xf>
    <xf numFmtId="187" fontId="5" fillId="34" borderId="11" xfId="0" applyNumberFormat="1" applyFont="1" applyFill="1" applyBorder="1" applyAlignment="1">
      <alignment horizontal="center" vertical="center" wrapText="1" shrinkToFit="1"/>
    </xf>
    <xf numFmtId="187" fontId="6" fillId="0" borderId="10" xfId="0" applyNumberFormat="1" applyFont="1" applyFill="1" applyBorder="1" applyAlignment="1">
      <alignment horizontal="center" vertical="center" wrapText="1" shrinkToFit="1"/>
    </xf>
    <xf numFmtId="187" fontId="5" fillId="0" borderId="10" xfId="0" applyNumberFormat="1" applyFont="1" applyFill="1" applyBorder="1" applyAlignment="1">
      <alignment horizontal="center" vertical="center" wrapText="1" shrinkToFit="1"/>
    </xf>
    <xf numFmtId="181" fontId="2" fillId="34" borderId="10" xfId="0" applyNumberFormat="1" applyFont="1" applyFill="1" applyBorder="1" applyAlignment="1">
      <alignment horizontal="center" vertical="center" wrapText="1" shrinkToFit="1"/>
    </xf>
    <xf numFmtId="181" fontId="3" fillId="36" borderId="11" xfId="0" applyNumberFormat="1" applyFont="1" applyFill="1" applyBorder="1" applyAlignment="1">
      <alignment horizontal="center" vertical="center" wrapText="1" shrinkToFit="1"/>
    </xf>
    <xf numFmtId="187" fontId="6" fillId="36" borderId="11" xfId="0" applyNumberFormat="1" applyFont="1" applyFill="1" applyBorder="1" applyAlignment="1">
      <alignment horizontal="center" vertical="center" wrapText="1" shrinkToFit="1"/>
    </xf>
    <xf numFmtId="187" fontId="5" fillId="38" borderId="10" xfId="0" applyNumberFormat="1" applyFont="1" applyFill="1" applyBorder="1" applyAlignment="1">
      <alignment horizontal="center" vertical="center" wrapText="1" shrinkToFit="1"/>
    </xf>
    <xf numFmtId="181" fontId="2" fillId="36" borderId="13" xfId="0" applyNumberFormat="1" applyFont="1" applyFill="1" applyBorder="1" applyAlignment="1">
      <alignment horizontal="center" vertical="center" wrapText="1" shrinkToFit="1"/>
    </xf>
    <xf numFmtId="187" fontId="6" fillId="36" borderId="13" xfId="0" applyNumberFormat="1" applyFont="1" applyFill="1" applyBorder="1" applyAlignment="1">
      <alignment horizontal="center" vertical="center" wrapText="1" shrinkToFit="1"/>
    </xf>
    <xf numFmtId="181" fontId="2" fillId="34" borderId="13" xfId="0" applyNumberFormat="1" applyFont="1" applyFill="1" applyBorder="1" applyAlignment="1">
      <alignment horizontal="center" vertical="center" wrapText="1" shrinkToFit="1"/>
    </xf>
    <xf numFmtId="181" fontId="2" fillId="35" borderId="13" xfId="0" applyNumberFormat="1" applyFont="1" applyFill="1" applyBorder="1" applyAlignment="1">
      <alignment horizontal="center" vertical="center" wrapText="1" shrinkToFit="1"/>
    </xf>
    <xf numFmtId="182" fontId="5" fillId="38" borderId="14" xfId="0" applyNumberFormat="1" applyFont="1" applyFill="1" applyBorder="1" applyAlignment="1">
      <alignment horizontal="center" vertical="center" wrapText="1" shrinkToFit="1"/>
    </xf>
    <xf numFmtId="181" fontId="2" fillId="34" borderId="10" xfId="0" applyNumberFormat="1" applyFont="1" applyFill="1" applyBorder="1" applyAlignment="1">
      <alignment horizontal="center" vertical="center" wrapText="1" shrinkToFit="1"/>
    </xf>
    <xf numFmtId="181" fontId="2" fillId="36" borderId="11" xfId="0" applyNumberFormat="1" applyFont="1" applyFill="1" applyBorder="1" applyAlignment="1">
      <alignment horizontal="center" vertical="center" wrapText="1" shrinkToFit="1"/>
    </xf>
    <xf numFmtId="181" fontId="6" fillId="35" borderId="10" xfId="0" applyNumberFormat="1" applyFont="1" applyFill="1" applyBorder="1" applyAlignment="1">
      <alignment horizontal="left" vertical="top" wrapText="1" shrinkToFit="1"/>
    </xf>
    <xf numFmtId="181" fontId="8" fillId="35" borderId="10" xfId="0" applyNumberFormat="1" applyFont="1" applyFill="1" applyBorder="1" applyAlignment="1">
      <alignment horizontal="left" vertical="top" wrapText="1" shrinkToFit="1"/>
    </xf>
    <xf numFmtId="181" fontId="8" fillId="36" borderId="10" xfId="0" applyNumberFormat="1" applyFont="1" applyFill="1" applyBorder="1" applyAlignment="1">
      <alignment horizontal="left" vertical="top" wrapText="1" shrinkToFit="1"/>
    </xf>
    <xf numFmtId="181" fontId="9" fillId="34" borderId="11" xfId="0" applyNumberFormat="1" applyFont="1" applyFill="1" applyBorder="1" applyAlignment="1">
      <alignment horizontal="left" vertical="top" wrapText="1" shrinkToFit="1"/>
    </xf>
    <xf numFmtId="181" fontId="9" fillId="34" borderId="10" xfId="0" applyNumberFormat="1" applyFont="1" applyFill="1" applyBorder="1" applyAlignment="1">
      <alignment horizontal="left" vertical="top" wrapText="1" shrinkToFit="1"/>
    </xf>
    <xf numFmtId="181" fontId="8" fillId="36" borderId="0" xfId="0" applyNumberFormat="1" applyFont="1" applyFill="1" applyAlignment="1">
      <alignment horizontal="left" vertical="top" wrapText="1"/>
    </xf>
    <xf numFmtId="181" fontId="8" fillId="34" borderId="0" xfId="0" applyNumberFormat="1" applyFont="1" applyFill="1" applyAlignment="1">
      <alignment horizontal="left" vertical="top" wrapText="1"/>
    </xf>
    <xf numFmtId="181" fontId="8" fillId="34" borderId="10" xfId="0" applyNumberFormat="1" applyFont="1" applyFill="1" applyBorder="1" applyAlignment="1">
      <alignment horizontal="left" vertical="top" wrapText="1"/>
    </xf>
    <xf numFmtId="181" fontId="8" fillId="34" borderId="10" xfId="0" applyNumberFormat="1" applyFont="1" applyFill="1" applyBorder="1" applyAlignment="1">
      <alignment horizontal="left" vertical="top" wrapText="1" shrinkToFit="1"/>
    </xf>
    <xf numFmtId="0" fontId="54" fillId="0" borderId="10" xfId="0" applyFont="1" applyBorder="1" applyAlignment="1">
      <alignment horizontal="left" vertical="top" wrapText="1"/>
    </xf>
    <xf numFmtId="0" fontId="54" fillId="0" borderId="15" xfId="52" applyFont="1" applyBorder="1" applyAlignment="1">
      <alignment horizontal="left" vertical="top" wrapText="1"/>
      <protection/>
    </xf>
    <xf numFmtId="181" fontId="8" fillId="36" borderId="13" xfId="0" applyNumberFormat="1" applyFont="1" applyFill="1" applyBorder="1" applyAlignment="1">
      <alignment horizontal="left" vertical="top" wrapText="1" shrinkToFit="1"/>
    </xf>
    <xf numFmtId="181" fontId="9" fillId="34" borderId="13" xfId="0" applyNumberFormat="1" applyFont="1" applyFill="1" applyBorder="1" applyAlignment="1">
      <alignment horizontal="left" vertical="top" wrapText="1" shrinkToFit="1"/>
    </xf>
    <xf numFmtId="181" fontId="8" fillId="36" borderId="10" xfId="0" applyNumberFormat="1" applyFont="1" applyFill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0" xfId="52" applyFont="1" applyBorder="1" applyAlignment="1">
      <alignment horizontal="left" vertical="top" wrapText="1"/>
      <protection/>
    </xf>
    <xf numFmtId="181" fontId="9" fillId="38" borderId="10" xfId="0" applyNumberFormat="1" applyFont="1" applyFill="1" applyBorder="1" applyAlignment="1">
      <alignment horizontal="left" vertical="top" wrapText="1" shrinkToFit="1"/>
    </xf>
    <xf numFmtId="181" fontId="9" fillId="0" borderId="10" xfId="0" applyNumberFormat="1" applyFont="1" applyFill="1" applyBorder="1" applyAlignment="1">
      <alignment horizontal="left" vertical="top" wrapText="1" shrinkToFit="1"/>
    </xf>
    <xf numFmtId="182" fontId="9" fillId="34" borderId="10" xfId="59" applyNumberFormat="1" applyFont="1" applyFill="1" applyBorder="1" applyAlignment="1">
      <alignment horizontal="left" vertical="top" wrapText="1" shrinkToFit="1"/>
    </xf>
    <xf numFmtId="182" fontId="9" fillId="34" borderId="16" xfId="59" applyNumberFormat="1" applyFont="1" applyFill="1" applyBorder="1" applyAlignment="1">
      <alignment horizontal="left" vertical="top" wrapText="1" shrinkToFit="1"/>
    </xf>
    <xf numFmtId="181" fontId="8" fillId="34" borderId="0" xfId="0" applyNumberFormat="1" applyFont="1" applyFill="1" applyAlignment="1">
      <alignment horizontal="left" vertical="top"/>
    </xf>
    <xf numFmtId="181" fontId="8" fillId="34" borderId="1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4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187" fontId="6" fillId="38" borderId="10" xfId="0" applyNumberFormat="1" applyFont="1" applyFill="1" applyBorder="1" applyAlignment="1">
      <alignment horizontal="center" vertical="center" wrapText="1" shrinkToFit="1"/>
    </xf>
    <xf numFmtId="187" fontId="11" fillId="38" borderId="10" xfId="0" applyNumberFormat="1" applyFont="1" applyFill="1" applyBorder="1" applyAlignment="1">
      <alignment horizontal="center" vertical="center" wrapText="1" shrinkToFit="1"/>
    </xf>
    <xf numFmtId="0" fontId="2" fillId="34" borderId="16" xfId="0" applyFont="1" applyFill="1" applyBorder="1" applyAlignment="1">
      <alignment horizontal="center" vertical="center" wrapText="1" shrinkToFit="1"/>
    </xf>
    <xf numFmtId="187" fontId="6" fillId="34" borderId="16" xfId="0" applyNumberFormat="1" applyFont="1" applyFill="1" applyBorder="1" applyAlignment="1">
      <alignment horizontal="center" vertical="center" wrapText="1" shrinkToFit="1"/>
    </xf>
    <xf numFmtId="187" fontId="5" fillId="34" borderId="16" xfId="0" applyNumberFormat="1" applyFont="1" applyFill="1" applyBorder="1" applyAlignment="1">
      <alignment horizontal="center" vertical="center" wrapText="1" shrinkToFit="1"/>
    </xf>
    <xf numFmtId="187" fontId="6" fillId="0" borderId="16" xfId="0" applyNumberFormat="1" applyFont="1" applyFill="1" applyBorder="1" applyAlignment="1">
      <alignment horizontal="center" vertical="center" wrapText="1" shrinkToFit="1"/>
    </xf>
    <xf numFmtId="187" fontId="5" fillId="0" borderId="16" xfId="0" applyNumberFormat="1" applyFont="1" applyFill="1" applyBorder="1" applyAlignment="1">
      <alignment horizontal="center" vertical="center" wrapText="1" shrinkToFit="1"/>
    </xf>
    <xf numFmtId="187" fontId="9" fillId="0" borderId="16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82" fontId="9" fillId="0" borderId="10" xfId="59" applyNumberFormat="1" applyFont="1" applyFill="1" applyBorder="1" applyAlignment="1">
      <alignment horizontal="left" vertical="top" wrapText="1" shrinkToFit="1"/>
    </xf>
    <xf numFmtId="181" fontId="2" fillId="0" borderId="10" xfId="0" applyNumberFormat="1" applyFont="1" applyFill="1" applyBorder="1" applyAlignment="1">
      <alignment horizontal="center" vertical="center" wrapText="1" shrinkToFit="1"/>
    </xf>
    <xf numFmtId="187" fontId="2" fillId="0" borderId="0" xfId="0" applyNumberFormat="1" applyFont="1" applyFill="1" applyAlignment="1">
      <alignment horizontal="center" vertical="center" wrapText="1" shrinkToFit="1"/>
    </xf>
    <xf numFmtId="1" fontId="2" fillId="7" borderId="10" xfId="0" applyNumberFormat="1" applyFont="1" applyFill="1" applyBorder="1" applyAlignment="1">
      <alignment horizontal="center" vertical="center" wrapText="1" shrinkToFit="1"/>
    </xf>
    <xf numFmtId="0" fontId="2" fillId="7" borderId="0" xfId="0" applyFont="1" applyFill="1" applyAlignment="1">
      <alignment horizontal="center" vertical="center" wrapText="1" shrinkToFit="1"/>
    </xf>
    <xf numFmtId="181" fontId="9" fillId="7" borderId="10" xfId="0" applyNumberFormat="1" applyFont="1" applyFill="1" applyBorder="1" applyAlignment="1">
      <alignment horizontal="left" vertical="top" wrapText="1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81" fontId="2" fillId="0" borderId="11" xfId="0" applyNumberFormat="1" applyFont="1" applyFill="1" applyBorder="1" applyAlignment="1">
      <alignment horizontal="center" vertical="center" wrapText="1" shrinkToFit="1"/>
    </xf>
    <xf numFmtId="187" fontId="5" fillId="0" borderId="11" xfId="0" applyNumberFormat="1" applyFont="1" applyFill="1" applyBorder="1" applyAlignment="1">
      <alignment horizontal="center" vertical="center" wrapText="1" shrinkToFit="1"/>
    </xf>
    <xf numFmtId="181" fontId="12" fillId="0" borderId="10" xfId="0" applyNumberFormat="1" applyFont="1" applyFill="1" applyBorder="1" applyAlignment="1">
      <alignment horizontal="left" vertical="top" wrapText="1" shrinkToFit="1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182" fontId="9" fillId="0" borderId="16" xfId="59" applyNumberFormat="1" applyFont="1" applyFill="1" applyBorder="1" applyAlignment="1">
      <alignment horizontal="left" vertical="top" wrapText="1" shrinkToFit="1"/>
    </xf>
    <xf numFmtId="0" fontId="3" fillId="36" borderId="10" xfId="0" applyFont="1" applyFill="1" applyBorder="1" applyAlignment="1">
      <alignment horizontal="center" vertical="center" wrapText="1" shrinkToFit="1"/>
    </xf>
    <xf numFmtId="182" fontId="8" fillId="36" borderId="16" xfId="59" applyNumberFormat="1" applyFont="1" applyFill="1" applyBorder="1" applyAlignment="1">
      <alignment horizontal="left" vertical="top" wrapText="1" shrinkToFit="1"/>
    </xf>
    <xf numFmtId="181" fontId="3" fillId="36" borderId="11" xfId="0" applyNumberFormat="1" applyFont="1" applyFill="1" applyBorder="1" applyAlignment="1">
      <alignment horizontal="center" vertical="center" wrapText="1" shrinkToFit="1"/>
    </xf>
    <xf numFmtId="0" fontId="3" fillId="36" borderId="0" xfId="0" applyFont="1" applyFill="1" applyAlignment="1">
      <alignment horizontal="center" vertical="center" wrapText="1" shrinkToFit="1"/>
    </xf>
    <xf numFmtId="0" fontId="3" fillId="34" borderId="17" xfId="0" applyFont="1" applyFill="1" applyBorder="1" applyAlignment="1">
      <alignment horizontal="center" vertical="center" wrapText="1" shrinkToFit="1"/>
    </xf>
    <xf numFmtId="0" fontId="3" fillId="34" borderId="18" xfId="0" applyFont="1" applyFill="1" applyBorder="1" applyAlignment="1">
      <alignment horizontal="center" vertical="center" wrapText="1" shrinkToFit="1"/>
    </xf>
    <xf numFmtId="0" fontId="3" fillId="34" borderId="14" xfId="0" applyFont="1" applyFill="1" applyBorder="1" applyAlignment="1">
      <alignment horizontal="center" vertical="center" wrapText="1" shrinkToFit="1"/>
    </xf>
    <xf numFmtId="0" fontId="40" fillId="34" borderId="18" xfId="0" applyFont="1" applyFill="1" applyBorder="1" applyAlignment="1">
      <alignment horizontal="center" vertical="center" wrapText="1" shrinkToFit="1"/>
    </xf>
    <xf numFmtId="0" fontId="40" fillId="34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top" wrapText="1" shrinkToFit="1"/>
    </xf>
    <xf numFmtId="0" fontId="7" fillId="34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49" fontId="2" fillId="34" borderId="19" xfId="0" applyNumberFormat="1" applyFont="1" applyFill="1" applyBorder="1" applyAlignment="1">
      <alignment horizontal="center" vertical="center" wrapText="1" shrinkToFit="1"/>
    </xf>
    <xf numFmtId="49" fontId="2" fillId="34" borderId="19" xfId="0" applyNumberFormat="1" applyFont="1" applyFill="1" applyBorder="1" applyAlignment="1">
      <alignment horizontal="center" vertical="center" wrapText="1" shrinkToFit="1"/>
    </xf>
    <xf numFmtId="49" fontId="2" fillId="34" borderId="11" xfId="0" applyNumberFormat="1" applyFont="1" applyFill="1" applyBorder="1" applyAlignment="1">
      <alignment horizontal="center" vertical="center" wrapText="1" shrinkToFit="1"/>
    </xf>
    <xf numFmtId="0" fontId="2" fillId="34" borderId="20" xfId="0" applyFont="1" applyFill="1" applyBorder="1" applyAlignment="1">
      <alignment horizontal="center" vertical="center" wrapText="1" shrinkToFit="1"/>
    </xf>
    <xf numFmtId="0" fontId="2" fillId="34" borderId="21" xfId="0" applyFont="1" applyFill="1" applyBorder="1" applyAlignment="1">
      <alignment horizontal="center" vertical="center" wrapText="1" shrinkToFit="1"/>
    </xf>
    <xf numFmtId="0" fontId="2" fillId="34" borderId="15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wrapText="1" shrinkToFit="1"/>
    </xf>
    <xf numFmtId="0" fontId="2" fillId="34" borderId="12" xfId="0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108"/>
  <sheetViews>
    <sheetView view="pageBreakPreview" zoomScaleSheetLayoutView="100" workbookViewId="0" topLeftCell="A6">
      <pane ySplit="2115" topLeftCell="A53" activePane="bottomLeft" state="split"/>
      <selection pane="topLeft" activeCell="A6" sqref="A6"/>
      <selection pane="bottomLeft" activeCell="B61" sqref="B61"/>
    </sheetView>
  </sheetViews>
  <sheetFormatPr defaultColWidth="5.7109375" defaultRowHeight="15" outlineLevelCol="2"/>
  <cols>
    <col min="1" max="1" width="5.7109375" style="1" customWidth="1"/>
    <col min="2" max="2" width="34.00390625" style="2" customWidth="1"/>
    <col min="3" max="3" width="12.140625" style="1" customWidth="1"/>
    <col min="4" max="4" width="12.00390625" style="1" customWidth="1"/>
    <col min="5" max="5" width="9.00390625" style="1" customWidth="1"/>
    <col min="6" max="8" width="12.00390625" style="1" customWidth="1"/>
    <col min="9" max="10" width="12.00390625" style="3" customWidth="1"/>
    <col min="11" max="11" width="10.00390625" style="3" customWidth="1"/>
    <col min="12" max="13" width="12.00390625" style="3" customWidth="1"/>
    <col min="14" max="18" width="12.00390625" style="1" customWidth="1"/>
    <col min="19" max="19" width="9.421875" style="1" customWidth="1"/>
    <col min="20" max="22" width="12.00390625" style="1" customWidth="1"/>
    <col min="23" max="23" width="8.28125" style="1" customWidth="1"/>
    <col min="24" max="25" width="12.00390625" style="1" customWidth="1"/>
    <col min="26" max="26" width="11.28125" style="1" customWidth="1" outlineLevel="2"/>
    <col min="27" max="27" width="9.00390625" style="1" customWidth="1" outlineLevel="2"/>
    <col min="28" max="28" width="12.00390625" style="1" customWidth="1" outlineLevel="2"/>
    <col min="29" max="29" width="11.28125" style="1" customWidth="1" outlineLevel="2"/>
    <col min="30" max="16384" width="5.7109375" style="1" customWidth="1"/>
  </cols>
  <sheetData>
    <row r="1" spans="1:29" ht="20.25" customHeight="1">
      <c r="A1" s="160" t="s">
        <v>33</v>
      </c>
      <c r="B1" s="160"/>
      <c r="C1" s="160"/>
      <c r="D1" s="160"/>
      <c r="E1" s="160"/>
      <c r="F1" s="160"/>
      <c r="G1" s="160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59" t="s">
        <v>142</v>
      </c>
      <c r="AA1" s="159"/>
      <c r="AB1" s="159"/>
      <c r="AC1" s="159"/>
    </row>
    <row r="2" spans="1:29" ht="30.75" customHeight="1">
      <c r="A2" s="13"/>
      <c r="B2" s="15"/>
      <c r="C2" s="13"/>
      <c r="D2" s="9"/>
      <c r="E2" s="9"/>
      <c r="F2" s="9"/>
      <c r="G2" s="9"/>
      <c r="H2" s="9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2" t="s">
        <v>36</v>
      </c>
      <c r="Z2" s="159"/>
      <c r="AA2" s="159"/>
      <c r="AB2" s="159"/>
      <c r="AC2" s="159"/>
    </row>
    <row r="3" spans="1:27" ht="21" customHeight="1">
      <c r="A3" s="16"/>
      <c r="B3" s="17"/>
      <c r="C3" s="16"/>
      <c r="D3" s="9"/>
      <c r="E3" s="9"/>
      <c r="F3" s="9"/>
      <c r="G3" s="9"/>
      <c r="H3" s="9"/>
      <c r="I3" s="5"/>
      <c r="J3" s="5"/>
      <c r="K3" s="5"/>
      <c r="L3" s="5"/>
      <c r="M3" s="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"/>
      <c r="AA3" s="5"/>
    </row>
    <row r="4" spans="1:64" ht="21" customHeight="1">
      <c r="A4" s="162" t="s">
        <v>37</v>
      </c>
      <c r="B4" s="168" t="s">
        <v>35</v>
      </c>
      <c r="C4" s="162" t="s">
        <v>1</v>
      </c>
      <c r="D4" s="171" t="s">
        <v>26</v>
      </c>
      <c r="E4" s="172"/>
      <c r="F4" s="172"/>
      <c r="G4" s="172"/>
      <c r="H4" s="173"/>
      <c r="I4" s="121"/>
      <c r="J4" s="122"/>
      <c r="K4" s="122"/>
      <c r="L4" s="122"/>
      <c r="M4" s="12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2"/>
      <c r="AA4" s="122"/>
      <c r="AB4" s="126"/>
      <c r="AC4" s="127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6.5" customHeight="1" hidden="1" thickBot="1">
      <c r="A5" s="163"/>
      <c r="B5" s="169"/>
      <c r="C5" s="163"/>
      <c r="D5" s="174"/>
      <c r="E5" s="175"/>
      <c r="F5" s="175"/>
      <c r="G5" s="175"/>
      <c r="H5" s="176"/>
      <c r="I5" s="123"/>
      <c r="J5" s="123"/>
      <c r="K5" s="123"/>
      <c r="L5" s="123"/>
      <c r="M5" s="123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21" customHeight="1">
      <c r="A6" s="163"/>
      <c r="B6" s="169"/>
      <c r="C6" s="163"/>
      <c r="D6" s="154" t="s">
        <v>0</v>
      </c>
      <c r="E6" s="155"/>
      <c r="F6" s="155"/>
      <c r="G6" s="155"/>
      <c r="H6" s="156"/>
      <c r="I6" s="165" t="s">
        <v>30</v>
      </c>
      <c r="J6" s="166"/>
      <c r="K6" s="166"/>
      <c r="L6" s="166"/>
      <c r="M6" s="167"/>
      <c r="N6" s="154" t="s">
        <v>31</v>
      </c>
      <c r="O6" s="155"/>
      <c r="P6" s="155"/>
      <c r="Q6" s="155"/>
      <c r="R6" s="155"/>
      <c r="S6" s="157"/>
      <c r="T6" s="157"/>
      <c r="U6" s="158"/>
      <c r="V6" s="154" t="s">
        <v>32</v>
      </c>
      <c r="W6" s="157"/>
      <c r="X6" s="157"/>
      <c r="Y6" s="158"/>
      <c r="Z6" s="154" t="s">
        <v>98</v>
      </c>
      <c r="AA6" s="155"/>
      <c r="AB6" s="155"/>
      <c r="AC6" s="15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2.75" customHeight="1">
      <c r="A7" s="164"/>
      <c r="B7" s="170"/>
      <c r="C7" s="164"/>
      <c r="D7" s="19" t="s">
        <v>38</v>
      </c>
      <c r="E7" s="14" t="s">
        <v>39</v>
      </c>
      <c r="F7" s="14" t="s">
        <v>40</v>
      </c>
      <c r="G7" s="19" t="s">
        <v>41</v>
      </c>
      <c r="H7" s="19" t="s">
        <v>119</v>
      </c>
      <c r="I7" s="20" t="s">
        <v>38</v>
      </c>
      <c r="J7" s="20" t="s">
        <v>120</v>
      </c>
      <c r="K7" s="20" t="s">
        <v>39</v>
      </c>
      <c r="L7" s="20" t="s">
        <v>40</v>
      </c>
      <c r="M7" s="20" t="s">
        <v>41</v>
      </c>
      <c r="N7" s="19" t="s">
        <v>38</v>
      </c>
      <c r="O7" s="19" t="s">
        <v>39</v>
      </c>
      <c r="P7" s="19" t="s">
        <v>40</v>
      </c>
      <c r="Q7" s="19" t="s">
        <v>41</v>
      </c>
      <c r="R7" s="20" t="s">
        <v>120</v>
      </c>
      <c r="S7" s="19" t="s">
        <v>39</v>
      </c>
      <c r="T7" s="19" t="s">
        <v>40</v>
      </c>
      <c r="U7" s="19" t="s">
        <v>41</v>
      </c>
      <c r="V7" s="19" t="s">
        <v>38</v>
      </c>
      <c r="W7" s="19" t="s">
        <v>39</v>
      </c>
      <c r="X7" s="19" t="s">
        <v>40</v>
      </c>
      <c r="Y7" s="19" t="s">
        <v>41</v>
      </c>
      <c r="Z7" s="19" t="s">
        <v>38</v>
      </c>
      <c r="AA7" s="19" t="s">
        <v>39</v>
      </c>
      <c r="AB7" s="19" t="s">
        <v>40</v>
      </c>
      <c r="AC7" s="19" t="s">
        <v>41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21" customHeight="1">
      <c r="A8" s="24"/>
      <c r="B8" s="97" t="s">
        <v>34</v>
      </c>
      <c r="C8" s="75"/>
      <c r="D8" s="76">
        <f aca="true" t="shared" si="0" ref="D8:I8">D9+D14+D33+D40+D52+D61</f>
        <v>71433.20684</v>
      </c>
      <c r="E8" s="76">
        <f t="shared" si="0"/>
        <v>0</v>
      </c>
      <c r="F8" s="76">
        <f t="shared" si="0"/>
        <v>2834.3999999999996</v>
      </c>
      <c r="G8" s="76">
        <f t="shared" si="0"/>
        <v>6677.2</v>
      </c>
      <c r="H8" s="76">
        <f t="shared" si="0"/>
        <v>61921.60683999999</v>
      </c>
      <c r="I8" s="76">
        <f t="shared" si="0"/>
        <v>16231.5841</v>
      </c>
      <c r="J8" s="76">
        <f>I8</f>
        <v>16231.5841</v>
      </c>
      <c r="K8" s="76">
        <f aca="true" t="shared" si="1" ref="K8:AC8">K9+K14+K33+K40+K52+K61</f>
        <v>0</v>
      </c>
      <c r="L8" s="76">
        <f t="shared" si="1"/>
        <v>5150.9493999999995</v>
      </c>
      <c r="M8" s="76">
        <f t="shared" si="1"/>
        <v>11080.634699999999</v>
      </c>
      <c r="N8" s="76">
        <f t="shared" si="1"/>
        <v>48754.82274</v>
      </c>
      <c r="O8" s="76">
        <f t="shared" si="1"/>
        <v>0</v>
      </c>
      <c r="P8" s="76">
        <f t="shared" si="1"/>
        <v>944.8</v>
      </c>
      <c r="Q8" s="76">
        <f t="shared" si="1"/>
        <v>2120</v>
      </c>
      <c r="R8" s="76">
        <f t="shared" si="1"/>
        <v>45690.02274</v>
      </c>
      <c r="S8" s="76">
        <f t="shared" si="1"/>
        <v>0</v>
      </c>
      <c r="T8" s="76">
        <f t="shared" si="1"/>
        <v>23389.395</v>
      </c>
      <c r="U8" s="76">
        <f t="shared" si="1"/>
        <v>22300.627739999996</v>
      </c>
      <c r="V8" s="76">
        <f t="shared" si="1"/>
        <v>3160</v>
      </c>
      <c r="W8" s="76">
        <f t="shared" si="1"/>
        <v>0</v>
      </c>
      <c r="X8" s="76">
        <f t="shared" si="1"/>
        <v>944.8</v>
      </c>
      <c r="Y8" s="76">
        <f t="shared" si="1"/>
        <v>2215.2</v>
      </c>
      <c r="Z8" s="76">
        <f t="shared" si="1"/>
        <v>3286.8</v>
      </c>
      <c r="AA8" s="76">
        <f t="shared" si="1"/>
        <v>0</v>
      </c>
      <c r="AB8" s="76">
        <f t="shared" si="1"/>
        <v>944.8</v>
      </c>
      <c r="AC8" s="76">
        <f t="shared" si="1"/>
        <v>2342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60" customHeight="1">
      <c r="A9" s="24"/>
      <c r="B9" s="98" t="s">
        <v>109</v>
      </c>
      <c r="C9" s="77"/>
      <c r="D9" s="76">
        <f>D10</f>
        <v>200</v>
      </c>
      <c r="E9" s="76">
        <f aca="true" t="shared" si="2" ref="E9:AC9">E10</f>
        <v>0</v>
      </c>
      <c r="F9" s="76">
        <f t="shared" si="2"/>
        <v>0</v>
      </c>
      <c r="G9" s="76">
        <f t="shared" si="2"/>
        <v>0</v>
      </c>
      <c r="H9" s="76">
        <f t="shared" si="2"/>
        <v>200</v>
      </c>
      <c r="I9" s="76">
        <f t="shared" si="2"/>
        <v>0</v>
      </c>
      <c r="J9" s="76">
        <f>I9</f>
        <v>0</v>
      </c>
      <c r="K9" s="76">
        <f t="shared" si="2"/>
        <v>0</v>
      </c>
      <c r="L9" s="76">
        <f t="shared" si="2"/>
        <v>0</v>
      </c>
      <c r="M9" s="76">
        <f t="shared" si="2"/>
        <v>0</v>
      </c>
      <c r="N9" s="76">
        <f>N10</f>
        <v>200</v>
      </c>
      <c r="O9" s="76">
        <f>O10</f>
        <v>0</v>
      </c>
      <c r="P9" s="76">
        <f>P10</f>
        <v>0</v>
      </c>
      <c r="Q9" s="76">
        <f>Q10</f>
        <v>0</v>
      </c>
      <c r="R9" s="76">
        <f>R10</f>
        <v>200</v>
      </c>
      <c r="S9" s="76">
        <f t="shared" si="2"/>
        <v>0</v>
      </c>
      <c r="T9" s="76">
        <f t="shared" si="2"/>
        <v>0</v>
      </c>
      <c r="U9" s="76">
        <f t="shared" si="2"/>
        <v>200</v>
      </c>
      <c r="V9" s="76">
        <f t="shared" si="2"/>
        <v>0</v>
      </c>
      <c r="W9" s="76">
        <f t="shared" si="2"/>
        <v>0</v>
      </c>
      <c r="X9" s="76">
        <f t="shared" si="2"/>
        <v>0</v>
      </c>
      <c r="Y9" s="76">
        <f t="shared" si="2"/>
        <v>0</v>
      </c>
      <c r="Z9" s="76">
        <f t="shared" si="2"/>
        <v>0</v>
      </c>
      <c r="AA9" s="76">
        <f t="shared" si="2"/>
        <v>0</v>
      </c>
      <c r="AB9" s="76">
        <f t="shared" si="2"/>
        <v>0</v>
      </c>
      <c r="AC9" s="76">
        <f t="shared" si="2"/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29" s="74" customFormat="1" ht="39.75" customHeight="1">
      <c r="A10" s="23" t="s">
        <v>3</v>
      </c>
      <c r="B10" s="99" t="s">
        <v>42</v>
      </c>
      <c r="C10" s="78"/>
      <c r="D10" s="79">
        <f aca="true" t="shared" si="3" ref="D10:AC10">D11+D12+D13</f>
        <v>200</v>
      </c>
      <c r="E10" s="79">
        <f t="shared" si="3"/>
        <v>0</v>
      </c>
      <c r="F10" s="79">
        <f t="shared" si="3"/>
        <v>0</v>
      </c>
      <c r="G10" s="79">
        <f t="shared" si="3"/>
        <v>0</v>
      </c>
      <c r="H10" s="79">
        <f t="shared" si="3"/>
        <v>200</v>
      </c>
      <c r="I10" s="79">
        <f t="shared" si="3"/>
        <v>0</v>
      </c>
      <c r="J10" s="79">
        <f t="shared" si="3"/>
        <v>0</v>
      </c>
      <c r="K10" s="79">
        <f t="shared" si="3"/>
        <v>0</v>
      </c>
      <c r="L10" s="79">
        <f t="shared" si="3"/>
        <v>0</v>
      </c>
      <c r="M10" s="79">
        <f t="shared" si="3"/>
        <v>0</v>
      </c>
      <c r="N10" s="79">
        <f t="shared" si="3"/>
        <v>200</v>
      </c>
      <c r="O10" s="79">
        <f t="shared" si="3"/>
        <v>0</v>
      </c>
      <c r="P10" s="79">
        <f t="shared" si="3"/>
        <v>0</v>
      </c>
      <c r="Q10" s="79">
        <f t="shared" si="3"/>
        <v>0</v>
      </c>
      <c r="R10" s="79">
        <f t="shared" si="3"/>
        <v>200</v>
      </c>
      <c r="S10" s="79">
        <f t="shared" si="3"/>
        <v>0</v>
      </c>
      <c r="T10" s="79">
        <f t="shared" si="3"/>
        <v>0</v>
      </c>
      <c r="U10" s="79">
        <f t="shared" si="3"/>
        <v>200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  <c r="AA10" s="79">
        <f t="shared" si="3"/>
        <v>0</v>
      </c>
      <c r="AB10" s="79">
        <f t="shared" si="3"/>
        <v>0</v>
      </c>
      <c r="AC10" s="79">
        <f t="shared" si="3"/>
        <v>0</v>
      </c>
    </row>
    <row r="11" spans="1:64" ht="34.5" customHeight="1">
      <c r="A11" s="19" t="s">
        <v>2</v>
      </c>
      <c r="B11" s="100" t="s">
        <v>43</v>
      </c>
      <c r="C11" s="80" t="s">
        <v>96</v>
      </c>
      <c r="D11" s="81">
        <f>SUM(E11:H11)</f>
        <v>0</v>
      </c>
      <c r="E11" s="82">
        <f aca="true" t="shared" si="4" ref="E11:G13">W11</f>
        <v>0</v>
      </c>
      <c r="F11" s="83">
        <f t="shared" si="4"/>
        <v>0</v>
      </c>
      <c r="G11" s="83">
        <f t="shared" si="4"/>
        <v>0</v>
      </c>
      <c r="H11" s="83">
        <f>J11+R11</f>
        <v>0</v>
      </c>
      <c r="I11" s="84">
        <f>J11</f>
        <v>0</v>
      </c>
      <c r="J11" s="84">
        <f>SUM(K11:M11)</f>
        <v>0</v>
      </c>
      <c r="K11" s="85">
        <v>0</v>
      </c>
      <c r="L11" s="85">
        <v>0</v>
      </c>
      <c r="M11" s="85">
        <v>0</v>
      </c>
      <c r="N11" s="81">
        <f>SUM(O11:R11)</f>
        <v>0</v>
      </c>
      <c r="O11" s="82">
        <v>0</v>
      </c>
      <c r="P11" s="82">
        <v>0</v>
      </c>
      <c r="Q11" s="82">
        <v>0</v>
      </c>
      <c r="R11" s="81">
        <v>0</v>
      </c>
      <c r="S11" s="82">
        <v>0</v>
      </c>
      <c r="T11" s="82">
        <v>0</v>
      </c>
      <c r="U11" s="82">
        <v>0</v>
      </c>
      <c r="V11" s="81">
        <f>W11+X11+Y11</f>
        <v>0</v>
      </c>
      <c r="W11" s="82">
        <v>0</v>
      </c>
      <c r="X11" s="82">
        <v>0</v>
      </c>
      <c r="Y11" s="82">
        <v>0</v>
      </c>
      <c r="Z11" s="81">
        <f>AA11+AB11+AC11</f>
        <v>0</v>
      </c>
      <c r="AA11" s="82">
        <v>0</v>
      </c>
      <c r="AB11" s="82">
        <v>0</v>
      </c>
      <c r="AC11" s="82"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38.25" customHeight="1">
      <c r="A12" s="18" t="s">
        <v>4</v>
      </c>
      <c r="B12" s="101" t="s">
        <v>44</v>
      </c>
      <c r="C12" s="95" t="s">
        <v>14</v>
      </c>
      <c r="D12" s="81">
        <f>SUM(E12:H12)</f>
        <v>0</v>
      </c>
      <c r="E12" s="82">
        <f t="shared" si="4"/>
        <v>0</v>
      </c>
      <c r="F12" s="83">
        <f t="shared" si="4"/>
        <v>0</v>
      </c>
      <c r="G12" s="83">
        <f t="shared" si="4"/>
        <v>0</v>
      </c>
      <c r="H12" s="83">
        <f>J12+R12</f>
        <v>0</v>
      </c>
      <c r="I12" s="84">
        <f>J12</f>
        <v>0</v>
      </c>
      <c r="J12" s="84">
        <f>SUM(K12:M12)</f>
        <v>0</v>
      </c>
      <c r="K12" s="85">
        <v>0</v>
      </c>
      <c r="L12" s="85">
        <v>0</v>
      </c>
      <c r="M12" s="85">
        <v>0</v>
      </c>
      <c r="N12" s="81">
        <f>SUM(O12:R12)</f>
        <v>0</v>
      </c>
      <c r="O12" s="82">
        <v>0</v>
      </c>
      <c r="P12" s="82">
        <v>0</v>
      </c>
      <c r="Q12" s="82">
        <v>0</v>
      </c>
      <c r="R12" s="81">
        <v>0</v>
      </c>
      <c r="S12" s="82">
        <v>0</v>
      </c>
      <c r="T12" s="82">
        <v>0</v>
      </c>
      <c r="U12" s="82">
        <v>0</v>
      </c>
      <c r="V12" s="81">
        <f>W12+X12+Y12</f>
        <v>0</v>
      </c>
      <c r="W12" s="82">
        <v>0</v>
      </c>
      <c r="X12" s="82">
        <v>0</v>
      </c>
      <c r="Y12" s="82">
        <v>0</v>
      </c>
      <c r="Z12" s="81">
        <f>AA12+AB12+AC12</f>
        <v>0</v>
      </c>
      <c r="AA12" s="82">
        <v>0</v>
      </c>
      <c r="AB12" s="82">
        <v>0</v>
      </c>
      <c r="AC12" s="82"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38.25" customHeight="1">
      <c r="A13" s="18" t="s">
        <v>28</v>
      </c>
      <c r="B13" s="101" t="s">
        <v>156</v>
      </c>
      <c r="C13" s="80" t="s">
        <v>96</v>
      </c>
      <c r="D13" s="81">
        <f>SUM(E13:H13)</f>
        <v>200</v>
      </c>
      <c r="E13" s="82">
        <f t="shared" si="4"/>
        <v>0</v>
      </c>
      <c r="F13" s="83">
        <f t="shared" si="4"/>
        <v>0</v>
      </c>
      <c r="G13" s="83">
        <f t="shared" si="4"/>
        <v>0</v>
      </c>
      <c r="H13" s="83">
        <f>J13+R13</f>
        <v>200</v>
      </c>
      <c r="I13" s="84">
        <f>J13</f>
        <v>0</v>
      </c>
      <c r="J13" s="84">
        <f>SUM(K13:M13)</f>
        <v>0</v>
      </c>
      <c r="K13" s="85">
        <v>0</v>
      </c>
      <c r="L13" s="85">
        <v>0</v>
      </c>
      <c r="M13" s="85">
        <v>0</v>
      </c>
      <c r="N13" s="81">
        <f>SUM(O13:R13)</f>
        <v>200</v>
      </c>
      <c r="O13" s="82">
        <v>0</v>
      </c>
      <c r="P13" s="82">
        <v>0</v>
      </c>
      <c r="Q13" s="82">
        <v>0</v>
      </c>
      <c r="R13" s="81">
        <v>200</v>
      </c>
      <c r="S13" s="82">
        <v>0</v>
      </c>
      <c r="T13" s="82">
        <v>0</v>
      </c>
      <c r="U13" s="82">
        <v>200</v>
      </c>
      <c r="V13" s="81">
        <f>W13+X13+Y13</f>
        <v>0</v>
      </c>
      <c r="W13" s="82">
        <v>0</v>
      </c>
      <c r="X13" s="82">
        <v>0</v>
      </c>
      <c r="Y13" s="82">
        <v>0</v>
      </c>
      <c r="Z13" s="81">
        <f>AA13+AB13+AC13</f>
        <v>0</v>
      </c>
      <c r="AA13" s="82">
        <v>0</v>
      </c>
      <c r="AB13" s="82">
        <v>0</v>
      </c>
      <c r="AC13" s="82"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5.25" customHeight="1">
      <c r="A14" s="24"/>
      <c r="B14" s="98" t="s">
        <v>110</v>
      </c>
      <c r="C14" s="25"/>
      <c r="D14" s="76">
        <f>D15</f>
        <v>45852.564229999996</v>
      </c>
      <c r="E14" s="76">
        <f aca="true" t="shared" si="5" ref="E14:AC14">E15</f>
        <v>0</v>
      </c>
      <c r="F14" s="76">
        <f t="shared" si="5"/>
        <v>0</v>
      </c>
      <c r="G14" s="76">
        <f t="shared" si="5"/>
        <v>0</v>
      </c>
      <c r="H14" s="76">
        <f t="shared" si="5"/>
        <v>45852.564229999996</v>
      </c>
      <c r="I14" s="76">
        <f t="shared" si="5"/>
        <v>13871.23388</v>
      </c>
      <c r="J14" s="76">
        <f>I14</f>
        <v>13871.23388</v>
      </c>
      <c r="K14" s="76">
        <f t="shared" si="5"/>
        <v>0</v>
      </c>
      <c r="L14" s="76">
        <f t="shared" si="5"/>
        <v>4488.9274</v>
      </c>
      <c r="M14" s="76">
        <f t="shared" si="5"/>
        <v>9382.30648</v>
      </c>
      <c r="N14" s="76">
        <f t="shared" si="5"/>
        <v>31981.33035</v>
      </c>
      <c r="O14" s="76">
        <f t="shared" si="5"/>
        <v>0</v>
      </c>
      <c r="P14" s="76">
        <f t="shared" si="5"/>
        <v>0</v>
      </c>
      <c r="Q14" s="76">
        <f t="shared" si="5"/>
        <v>0</v>
      </c>
      <c r="R14" s="76">
        <f t="shared" si="5"/>
        <v>31981.33035</v>
      </c>
      <c r="S14" s="76">
        <f t="shared" si="5"/>
        <v>0</v>
      </c>
      <c r="T14" s="76">
        <f t="shared" si="5"/>
        <v>13525.83</v>
      </c>
      <c r="U14" s="76">
        <f>U15</f>
        <v>18455.50035</v>
      </c>
      <c r="V14" s="76">
        <f t="shared" si="5"/>
        <v>0</v>
      </c>
      <c r="W14" s="76">
        <f t="shared" si="5"/>
        <v>0</v>
      </c>
      <c r="X14" s="76">
        <f t="shared" si="5"/>
        <v>0</v>
      </c>
      <c r="Y14" s="76">
        <f t="shared" si="5"/>
        <v>0</v>
      </c>
      <c r="Z14" s="76">
        <f t="shared" si="5"/>
        <v>0</v>
      </c>
      <c r="AA14" s="76">
        <f t="shared" si="5"/>
        <v>0</v>
      </c>
      <c r="AB14" s="76">
        <f t="shared" si="5"/>
        <v>0</v>
      </c>
      <c r="AC14" s="76">
        <f t="shared" si="5"/>
        <v>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8" customFormat="1" ht="73.5" customHeight="1">
      <c r="A15" s="26" t="s">
        <v>8</v>
      </c>
      <c r="B15" s="102" t="s">
        <v>45</v>
      </c>
      <c r="C15" s="87"/>
      <c r="D15" s="88">
        <f>D26+D30+D31+D32</f>
        <v>45852.564229999996</v>
      </c>
      <c r="E15" s="88">
        <f aca="true" t="shared" si="6" ref="E15:AC15">E26+E30+E31+E32</f>
        <v>0</v>
      </c>
      <c r="F15" s="88">
        <f t="shared" si="6"/>
        <v>0</v>
      </c>
      <c r="G15" s="88">
        <f t="shared" si="6"/>
        <v>0</v>
      </c>
      <c r="H15" s="88">
        <f t="shared" si="6"/>
        <v>45852.564229999996</v>
      </c>
      <c r="I15" s="88">
        <f t="shared" si="6"/>
        <v>13871.23388</v>
      </c>
      <c r="J15" s="88">
        <f t="shared" si="6"/>
        <v>13871.23388</v>
      </c>
      <c r="K15" s="88">
        <f t="shared" si="6"/>
        <v>0</v>
      </c>
      <c r="L15" s="88">
        <f t="shared" si="6"/>
        <v>4488.9274</v>
      </c>
      <c r="M15" s="88">
        <f t="shared" si="6"/>
        <v>9382.30648</v>
      </c>
      <c r="N15" s="88">
        <f t="shared" si="6"/>
        <v>31981.33035</v>
      </c>
      <c r="O15" s="88">
        <f t="shared" si="6"/>
        <v>0</v>
      </c>
      <c r="P15" s="88">
        <f t="shared" si="6"/>
        <v>0</v>
      </c>
      <c r="Q15" s="88">
        <f t="shared" si="6"/>
        <v>0</v>
      </c>
      <c r="R15" s="88">
        <f t="shared" si="6"/>
        <v>31981.33035</v>
      </c>
      <c r="S15" s="88">
        <f t="shared" si="6"/>
        <v>0</v>
      </c>
      <c r="T15" s="88">
        <f t="shared" si="6"/>
        <v>13525.83</v>
      </c>
      <c r="U15" s="88">
        <f t="shared" si="6"/>
        <v>18455.50035</v>
      </c>
      <c r="V15" s="88">
        <f t="shared" si="6"/>
        <v>0</v>
      </c>
      <c r="W15" s="88">
        <f t="shared" si="6"/>
        <v>0</v>
      </c>
      <c r="X15" s="88">
        <f t="shared" si="6"/>
        <v>0</v>
      </c>
      <c r="Y15" s="88">
        <f t="shared" si="6"/>
        <v>0</v>
      </c>
      <c r="Z15" s="88">
        <f t="shared" si="6"/>
        <v>0</v>
      </c>
      <c r="AA15" s="88">
        <f t="shared" si="6"/>
        <v>0</v>
      </c>
      <c r="AB15" s="88">
        <f t="shared" si="6"/>
        <v>0</v>
      </c>
      <c r="AC15" s="88">
        <f t="shared" si="6"/>
        <v>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1.75" customHeight="1" hidden="1">
      <c r="A16" s="10"/>
      <c r="B16" s="103" t="s">
        <v>15</v>
      </c>
      <c r="C16" s="86" t="s">
        <v>22</v>
      </c>
      <c r="D16" s="81"/>
      <c r="E16" s="81"/>
      <c r="F16" s="81"/>
      <c r="G16" s="81"/>
      <c r="H16" s="81"/>
      <c r="I16" s="84"/>
      <c r="J16" s="76">
        <f aca="true" t="shared" si="7" ref="J16:J68">I16</f>
        <v>0</v>
      </c>
      <c r="K16" s="85"/>
      <c r="L16" s="85"/>
      <c r="M16" s="85"/>
      <c r="N16" s="81"/>
      <c r="O16" s="81"/>
      <c r="P16" s="81"/>
      <c r="Q16" s="81"/>
      <c r="R16" s="81"/>
      <c r="S16" s="82"/>
      <c r="T16" s="82"/>
      <c r="U16" s="82"/>
      <c r="V16" s="81"/>
      <c r="W16" s="82"/>
      <c r="X16" s="82"/>
      <c r="Y16" s="82"/>
      <c r="Z16" s="81"/>
      <c r="AA16" s="82"/>
      <c r="AB16" s="82"/>
      <c r="AC16" s="8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8.75" customHeight="1" hidden="1">
      <c r="A17" s="10"/>
      <c r="B17" s="104" t="s">
        <v>16</v>
      </c>
      <c r="C17" s="86" t="s">
        <v>23</v>
      </c>
      <c r="D17" s="81"/>
      <c r="E17" s="81"/>
      <c r="F17" s="81"/>
      <c r="G17" s="81"/>
      <c r="H17" s="81"/>
      <c r="I17" s="84"/>
      <c r="J17" s="76">
        <f t="shared" si="7"/>
        <v>0</v>
      </c>
      <c r="K17" s="85"/>
      <c r="L17" s="85"/>
      <c r="M17" s="85"/>
      <c r="N17" s="81"/>
      <c r="O17" s="81"/>
      <c r="P17" s="81"/>
      <c r="Q17" s="81"/>
      <c r="R17" s="81"/>
      <c r="S17" s="82"/>
      <c r="T17" s="82"/>
      <c r="U17" s="82"/>
      <c r="V17" s="81"/>
      <c r="W17" s="82"/>
      <c r="X17" s="82"/>
      <c r="Y17" s="82"/>
      <c r="Z17" s="81"/>
      <c r="AA17" s="82"/>
      <c r="AB17" s="82"/>
      <c r="AC17" s="8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22.5" customHeight="1" hidden="1">
      <c r="A18" s="10"/>
      <c r="B18" s="103" t="s">
        <v>17</v>
      </c>
      <c r="C18" s="86" t="s">
        <v>23</v>
      </c>
      <c r="D18" s="81"/>
      <c r="E18" s="81"/>
      <c r="F18" s="81"/>
      <c r="G18" s="81"/>
      <c r="H18" s="81"/>
      <c r="I18" s="84"/>
      <c r="J18" s="76">
        <f t="shared" si="7"/>
        <v>0</v>
      </c>
      <c r="K18" s="85"/>
      <c r="L18" s="85"/>
      <c r="M18" s="85"/>
      <c r="N18" s="81"/>
      <c r="O18" s="81"/>
      <c r="P18" s="81"/>
      <c r="Q18" s="81"/>
      <c r="R18" s="81"/>
      <c r="S18" s="82"/>
      <c r="T18" s="82"/>
      <c r="U18" s="82"/>
      <c r="V18" s="81"/>
      <c r="W18" s="82"/>
      <c r="X18" s="82"/>
      <c r="Y18" s="82"/>
      <c r="Z18" s="81"/>
      <c r="AA18" s="82"/>
      <c r="AB18" s="82"/>
      <c r="AC18" s="8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24" customHeight="1" hidden="1">
      <c r="A19" s="10"/>
      <c r="B19" s="105" t="s">
        <v>18</v>
      </c>
      <c r="C19" s="86" t="s">
        <v>23</v>
      </c>
      <c r="D19" s="81"/>
      <c r="E19" s="81"/>
      <c r="F19" s="81"/>
      <c r="G19" s="81"/>
      <c r="H19" s="81"/>
      <c r="I19" s="84"/>
      <c r="J19" s="76">
        <f t="shared" si="7"/>
        <v>0</v>
      </c>
      <c r="K19" s="85"/>
      <c r="L19" s="85"/>
      <c r="M19" s="85"/>
      <c r="N19" s="81"/>
      <c r="O19" s="81"/>
      <c r="P19" s="81"/>
      <c r="Q19" s="81"/>
      <c r="R19" s="81"/>
      <c r="S19" s="82"/>
      <c r="T19" s="82"/>
      <c r="U19" s="82"/>
      <c r="V19" s="81"/>
      <c r="W19" s="82"/>
      <c r="X19" s="82"/>
      <c r="Y19" s="82"/>
      <c r="Z19" s="81"/>
      <c r="AA19" s="82"/>
      <c r="AB19" s="82"/>
      <c r="AC19" s="8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26.25" customHeight="1" hidden="1">
      <c r="A20" s="21"/>
      <c r="B20" s="105" t="s">
        <v>19</v>
      </c>
      <c r="C20" s="86" t="s">
        <v>23</v>
      </c>
      <c r="D20" s="81"/>
      <c r="E20" s="81"/>
      <c r="F20" s="81"/>
      <c r="G20" s="81"/>
      <c r="H20" s="81"/>
      <c r="I20" s="84"/>
      <c r="J20" s="76">
        <f t="shared" si="7"/>
        <v>0</v>
      </c>
      <c r="K20" s="85"/>
      <c r="L20" s="85"/>
      <c r="M20" s="85"/>
      <c r="N20" s="81"/>
      <c r="O20" s="81"/>
      <c r="P20" s="81"/>
      <c r="Q20" s="81"/>
      <c r="R20" s="81"/>
      <c r="S20" s="82"/>
      <c r="T20" s="82"/>
      <c r="U20" s="82"/>
      <c r="V20" s="81"/>
      <c r="W20" s="82"/>
      <c r="X20" s="82"/>
      <c r="Y20" s="82"/>
      <c r="Z20" s="81"/>
      <c r="AA20" s="82"/>
      <c r="AB20" s="82"/>
      <c r="AC20" s="8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25.5" customHeight="1" hidden="1">
      <c r="A21" s="10"/>
      <c r="B21" s="105" t="s">
        <v>20</v>
      </c>
      <c r="C21" s="86" t="s">
        <v>23</v>
      </c>
      <c r="D21" s="81"/>
      <c r="E21" s="81"/>
      <c r="F21" s="81"/>
      <c r="G21" s="81"/>
      <c r="H21" s="81"/>
      <c r="I21" s="84"/>
      <c r="J21" s="76">
        <f t="shared" si="7"/>
        <v>0</v>
      </c>
      <c r="K21" s="85"/>
      <c r="L21" s="85"/>
      <c r="M21" s="85"/>
      <c r="N21" s="81"/>
      <c r="O21" s="81"/>
      <c r="P21" s="81"/>
      <c r="Q21" s="81"/>
      <c r="R21" s="81"/>
      <c r="S21" s="82"/>
      <c r="T21" s="82"/>
      <c r="U21" s="82"/>
      <c r="V21" s="81"/>
      <c r="W21" s="82"/>
      <c r="X21" s="82"/>
      <c r="Y21" s="82"/>
      <c r="Z21" s="81"/>
      <c r="AA21" s="82"/>
      <c r="AB21" s="82"/>
      <c r="AC21" s="8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6.25" customHeight="1" hidden="1">
      <c r="A22" s="10"/>
      <c r="B22" s="105" t="s">
        <v>27</v>
      </c>
      <c r="C22" s="86" t="s">
        <v>23</v>
      </c>
      <c r="D22" s="81"/>
      <c r="E22" s="81"/>
      <c r="F22" s="81"/>
      <c r="G22" s="81"/>
      <c r="H22" s="81"/>
      <c r="I22" s="84"/>
      <c r="J22" s="76">
        <f t="shared" si="7"/>
        <v>0</v>
      </c>
      <c r="K22" s="85"/>
      <c r="L22" s="85"/>
      <c r="M22" s="85"/>
      <c r="N22" s="81"/>
      <c r="O22" s="81"/>
      <c r="P22" s="81"/>
      <c r="Q22" s="81"/>
      <c r="R22" s="81"/>
      <c r="S22" s="82"/>
      <c r="T22" s="82"/>
      <c r="U22" s="82"/>
      <c r="V22" s="81"/>
      <c r="W22" s="82"/>
      <c r="X22" s="82"/>
      <c r="Y22" s="82"/>
      <c r="Z22" s="81"/>
      <c r="AA22" s="82"/>
      <c r="AB22" s="82"/>
      <c r="AC22" s="8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21.75" customHeight="1" hidden="1">
      <c r="A23" s="10"/>
      <c r="B23" s="105" t="s">
        <v>21</v>
      </c>
      <c r="C23" s="86" t="s">
        <v>23</v>
      </c>
      <c r="D23" s="81"/>
      <c r="E23" s="81"/>
      <c r="F23" s="81"/>
      <c r="G23" s="81"/>
      <c r="H23" s="81"/>
      <c r="I23" s="84"/>
      <c r="J23" s="76">
        <f t="shared" si="7"/>
        <v>0</v>
      </c>
      <c r="K23" s="85"/>
      <c r="L23" s="85"/>
      <c r="M23" s="85"/>
      <c r="N23" s="81"/>
      <c r="O23" s="81"/>
      <c r="P23" s="81"/>
      <c r="Q23" s="81"/>
      <c r="R23" s="81"/>
      <c r="S23" s="82"/>
      <c r="T23" s="82"/>
      <c r="U23" s="82"/>
      <c r="V23" s="81"/>
      <c r="W23" s="82"/>
      <c r="X23" s="82"/>
      <c r="Y23" s="82"/>
      <c r="Z23" s="81"/>
      <c r="AA23" s="82"/>
      <c r="AB23" s="82"/>
      <c r="AC23" s="8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34.5" customHeight="1" hidden="1">
      <c r="A24" s="11"/>
      <c r="B24" s="105" t="s">
        <v>5</v>
      </c>
      <c r="C24" s="86" t="s">
        <v>23</v>
      </c>
      <c r="D24" s="81"/>
      <c r="E24" s="81"/>
      <c r="F24" s="81"/>
      <c r="G24" s="81"/>
      <c r="H24" s="81"/>
      <c r="I24" s="84"/>
      <c r="J24" s="76">
        <f t="shared" si="7"/>
        <v>0</v>
      </c>
      <c r="K24" s="85"/>
      <c r="L24" s="85"/>
      <c r="M24" s="85"/>
      <c r="N24" s="81"/>
      <c r="O24" s="81"/>
      <c r="P24" s="81"/>
      <c r="Q24" s="81"/>
      <c r="R24" s="81"/>
      <c r="S24" s="82"/>
      <c r="T24" s="82"/>
      <c r="U24" s="82"/>
      <c r="V24" s="81"/>
      <c r="W24" s="82"/>
      <c r="X24" s="82"/>
      <c r="Y24" s="82"/>
      <c r="Z24" s="81"/>
      <c r="AA24" s="82"/>
      <c r="AB24" s="82"/>
      <c r="AC24" s="8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49.5" customHeight="1" hidden="1">
      <c r="A25" s="11"/>
      <c r="B25" s="105" t="s">
        <v>6</v>
      </c>
      <c r="C25" s="86" t="s">
        <v>23</v>
      </c>
      <c r="D25" s="81"/>
      <c r="E25" s="81"/>
      <c r="F25" s="81"/>
      <c r="G25" s="81"/>
      <c r="H25" s="81"/>
      <c r="I25" s="84"/>
      <c r="J25" s="76">
        <f t="shared" si="7"/>
        <v>0</v>
      </c>
      <c r="K25" s="85"/>
      <c r="L25" s="85"/>
      <c r="M25" s="85"/>
      <c r="N25" s="81"/>
      <c r="O25" s="81"/>
      <c r="P25" s="81"/>
      <c r="Q25" s="81"/>
      <c r="R25" s="81"/>
      <c r="S25" s="82"/>
      <c r="T25" s="82"/>
      <c r="U25" s="82"/>
      <c r="V25" s="81"/>
      <c r="W25" s="82"/>
      <c r="X25" s="82"/>
      <c r="Y25" s="82"/>
      <c r="Z25" s="81"/>
      <c r="AA25" s="82"/>
      <c r="AB25" s="82"/>
      <c r="AC25" s="8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29" s="12" customFormat="1" ht="60" customHeight="1">
      <c r="A26" s="27" t="s">
        <v>9</v>
      </c>
      <c r="B26" s="101" t="s">
        <v>64</v>
      </c>
      <c r="C26" s="86" t="s">
        <v>22</v>
      </c>
      <c r="D26" s="81">
        <f aca="true" t="shared" si="8" ref="D26:D31">SUM(E26:H26)</f>
        <v>45410.22133</v>
      </c>
      <c r="E26" s="82">
        <f aca="true" t="shared" si="9" ref="E26:G31">W26</f>
        <v>0</v>
      </c>
      <c r="F26" s="83">
        <f t="shared" si="9"/>
        <v>0</v>
      </c>
      <c r="G26" s="83">
        <f t="shared" si="9"/>
        <v>0</v>
      </c>
      <c r="H26" s="83">
        <f aca="true" t="shared" si="10" ref="H26:H31">J26+R26</f>
        <v>45410.22133</v>
      </c>
      <c r="I26" s="84">
        <f aca="true" t="shared" si="11" ref="I26:I31">J26</f>
        <v>13745.98098</v>
      </c>
      <c r="J26" s="84">
        <f aca="true" t="shared" si="12" ref="J26:J31">SUM(K26:M26)</f>
        <v>13745.98098</v>
      </c>
      <c r="K26" s="85">
        <v>0</v>
      </c>
      <c r="L26" s="85">
        <v>4488.9274</v>
      </c>
      <c r="M26" s="89">
        <f>8744.55016+16.17961+496.32381</f>
        <v>9257.05358</v>
      </c>
      <c r="N26" s="81">
        <f aca="true" t="shared" si="13" ref="N26:N31">SUM(O26:R26)</f>
        <v>31664.24035</v>
      </c>
      <c r="O26" s="82">
        <v>0</v>
      </c>
      <c r="P26" s="82">
        <v>0</v>
      </c>
      <c r="Q26" s="82">
        <v>0</v>
      </c>
      <c r="R26" s="81">
        <f aca="true" t="shared" si="14" ref="R26:R31">SUM(S26:U26)</f>
        <v>31664.24035</v>
      </c>
      <c r="S26" s="82">
        <v>0</v>
      </c>
      <c r="T26" s="82">
        <f>T27+T28</f>
        <v>13525.83</v>
      </c>
      <c r="U26" s="89">
        <f>18790.25172-300-300-17.09-34.75184+0.00047</f>
        <v>18138.41035</v>
      </c>
      <c r="V26" s="81">
        <f aca="true" t="shared" si="15" ref="V26:V31">W26+X26+Y26</f>
        <v>0</v>
      </c>
      <c r="W26" s="82">
        <v>0</v>
      </c>
      <c r="X26" s="82">
        <v>0</v>
      </c>
      <c r="Y26" s="82">
        <v>0</v>
      </c>
      <c r="Z26" s="81">
        <f aca="true" t="shared" si="16" ref="Z26:Z31">AA26+AB26+AC26</f>
        <v>0</v>
      </c>
      <c r="AA26" s="82">
        <v>0</v>
      </c>
      <c r="AB26" s="82">
        <v>0</v>
      </c>
      <c r="AC26" s="82">
        <v>0</v>
      </c>
    </row>
    <row r="27" spans="1:29" s="12" customFormat="1" ht="33.75" customHeight="1">
      <c r="A27" s="27"/>
      <c r="B27" s="106" t="s">
        <v>61</v>
      </c>
      <c r="C27" s="86" t="s">
        <v>22</v>
      </c>
      <c r="D27" s="81">
        <f t="shared" si="8"/>
        <v>18779.598</v>
      </c>
      <c r="E27" s="82">
        <f t="shared" si="9"/>
        <v>0</v>
      </c>
      <c r="F27" s="83">
        <f t="shared" si="9"/>
        <v>0</v>
      </c>
      <c r="G27" s="83">
        <f t="shared" si="9"/>
        <v>0</v>
      </c>
      <c r="H27" s="83">
        <f t="shared" si="10"/>
        <v>18779.598</v>
      </c>
      <c r="I27" s="84">
        <f t="shared" si="11"/>
        <v>4668.978</v>
      </c>
      <c r="J27" s="84">
        <f t="shared" si="12"/>
        <v>4668.978</v>
      </c>
      <c r="K27" s="85">
        <v>0</v>
      </c>
      <c r="L27" s="85">
        <f>3406.717+1028.828</f>
        <v>4435.545</v>
      </c>
      <c r="M27" s="85">
        <f>179.288+54.145</f>
        <v>233.43300000000002</v>
      </c>
      <c r="N27" s="81">
        <f t="shared" si="13"/>
        <v>14110.62</v>
      </c>
      <c r="O27" s="82">
        <v>0</v>
      </c>
      <c r="P27" s="82">
        <v>0</v>
      </c>
      <c r="Q27" s="82">
        <v>0</v>
      </c>
      <c r="R27" s="81">
        <f t="shared" si="14"/>
        <v>14110.62</v>
      </c>
      <c r="S27" s="82">
        <v>0</v>
      </c>
      <c r="T27" s="82">
        <v>13405.09</v>
      </c>
      <c r="U27" s="89">
        <v>705.53</v>
      </c>
      <c r="V27" s="81">
        <f t="shared" si="15"/>
        <v>0</v>
      </c>
      <c r="W27" s="82">
        <v>0</v>
      </c>
      <c r="X27" s="82">
        <v>0</v>
      </c>
      <c r="Y27" s="82">
        <v>0</v>
      </c>
      <c r="Z27" s="81">
        <f t="shared" si="16"/>
        <v>0</v>
      </c>
      <c r="AA27" s="82">
        <v>0</v>
      </c>
      <c r="AB27" s="82">
        <v>0</v>
      </c>
      <c r="AC27" s="82">
        <v>0</v>
      </c>
    </row>
    <row r="28" spans="1:29" s="12" customFormat="1" ht="38.25" customHeight="1">
      <c r="A28" s="27"/>
      <c r="B28" s="106" t="s">
        <v>62</v>
      </c>
      <c r="C28" s="86" t="s">
        <v>22</v>
      </c>
      <c r="D28" s="81">
        <f t="shared" si="8"/>
        <v>183.4924</v>
      </c>
      <c r="E28" s="82">
        <f t="shared" si="9"/>
        <v>0</v>
      </c>
      <c r="F28" s="83">
        <f t="shared" si="9"/>
        <v>0</v>
      </c>
      <c r="G28" s="83">
        <f t="shared" si="9"/>
        <v>0</v>
      </c>
      <c r="H28" s="83">
        <f t="shared" si="10"/>
        <v>183.4924</v>
      </c>
      <c r="I28" s="84">
        <f t="shared" si="11"/>
        <v>56.382400000000004</v>
      </c>
      <c r="J28" s="84">
        <f t="shared" si="12"/>
        <v>56.382400000000004</v>
      </c>
      <c r="K28" s="85">
        <v>0</v>
      </c>
      <c r="L28" s="85">
        <f>41+12.3824</f>
        <v>53.382400000000004</v>
      </c>
      <c r="M28" s="85">
        <f>2.333+0.667</f>
        <v>3</v>
      </c>
      <c r="N28" s="81">
        <f t="shared" si="13"/>
        <v>127.11</v>
      </c>
      <c r="O28" s="82">
        <v>0</v>
      </c>
      <c r="P28" s="82">
        <v>0</v>
      </c>
      <c r="Q28" s="82">
        <v>0</v>
      </c>
      <c r="R28" s="81">
        <f t="shared" si="14"/>
        <v>127.11</v>
      </c>
      <c r="S28" s="82">
        <v>0</v>
      </c>
      <c r="T28" s="82">
        <v>120.74</v>
      </c>
      <c r="U28" s="89">
        <v>6.37</v>
      </c>
      <c r="V28" s="81">
        <f t="shared" si="15"/>
        <v>0</v>
      </c>
      <c r="W28" s="82">
        <v>0</v>
      </c>
      <c r="X28" s="82">
        <v>0</v>
      </c>
      <c r="Y28" s="82">
        <v>0</v>
      </c>
      <c r="Z28" s="81">
        <f t="shared" si="16"/>
        <v>0</v>
      </c>
      <c r="AA28" s="82">
        <v>0</v>
      </c>
      <c r="AB28" s="82">
        <v>0</v>
      </c>
      <c r="AC28" s="82">
        <v>0</v>
      </c>
    </row>
    <row r="29" spans="1:29" s="12" customFormat="1" ht="36" customHeight="1">
      <c r="A29" s="27"/>
      <c r="B29" s="106" t="s">
        <v>63</v>
      </c>
      <c r="C29" s="86" t="s">
        <v>22</v>
      </c>
      <c r="D29" s="81">
        <f t="shared" si="8"/>
        <v>0</v>
      </c>
      <c r="E29" s="82">
        <f t="shared" si="9"/>
        <v>0</v>
      </c>
      <c r="F29" s="83">
        <f t="shared" si="9"/>
        <v>0</v>
      </c>
      <c r="G29" s="83">
        <f t="shared" si="9"/>
        <v>0</v>
      </c>
      <c r="H29" s="83">
        <f t="shared" si="10"/>
        <v>0</v>
      </c>
      <c r="I29" s="84">
        <f t="shared" si="11"/>
        <v>0</v>
      </c>
      <c r="J29" s="84">
        <f t="shared" si="12"/>
        <v>0</v>
      </c>
      <c r="K29" s="85">
        <v>0</v>
      </c>
      <c r="L29" s="85">
        <v>0</v>
      </c>
      <c r="M29" s="85">
        <v>0</v>
      </c>
      <c r="N29" s="81">
        <f t="shared" si="13"/>
        <v>0</v>
      </c>
      <c r="O29" s="82">
        <v>0</v>
      </c>
      <c r="P29" s="82">
        <v>0</v>
      </c>
      <c r="Q29" s="82">
        <v>0</v>
      </c>
      <c r="R29" s="81">
        <f t="shared" si="14"/>
        <v>0</v>
      </c>
      <c r="S29" s="82">
        <v>0</v>
      </c>
      <c r="T29" s="82">
        <v>0</v>
      </c>
      <c r="U29" s="89">
        <v>0</v>
      </c>
      <c r="V29" s="81">
        <f t="shared" si="15"/>
        <v>0</v>
      </c>
      <c r="W29" s="82">
        <v>0</v>
      </c>
      <c r="X29" s="82">
        <v>0</v>
      </c>
      <c r="Y29" s="82">
        <v>0</v>
      </c>
      <c r="Z29" s="81">
        <f t="shared" si="16"/>
        <v>0</v>
      </c>
      <c r="AA29" s="82">
        <v>0</v>
      </c>
      <c r="AB29" s="82">
        <v>0</v>
      </c>
      <c r="AC29" s="82">
        <v>0</v>
      </c>
    </row>
    <row r="30" spans="1:29" s="12" customFormat="1" ht="59.25" customHeight="1">
      <c r="A30" s="27" t="s">
        <v>10</v>
      </c>
      <c r="B30" s="107" t="s">
        <v>48</v>
      </c>
      <c r="C30" s="86" t="s">
        <v>23</v>
      </c>
      <c r="D30" s="81">
        <f t="shared" si="8"/>
        <v>425.2529</v>
      </c>
      <c r="E30" s="82">
        <f t="shared" si="9"/>
        <v>0</v>
      </c>
      <c r="F30" s="83">
        <f t="shared" si="9"/>
        <v>0</v>
      </c>
      <c r="G30" s="83">
        <f t="shared" si="9"/>
        <v>0</v>
      </c>
      <c r="H30" s="83">
        <f t="shared" si="10"/>
        <v>425.2529</v>
      </c>
      <c r="I30" s="84">
        <f t="shared" si="11"/>
        <v>125.2529</v>
      </c>
      <c r="J30" s="84">
        <f t="shared" si="12"/>
        <v>125.2529</v>
      </c>
      <c r="K30" s="85">
        <v>0</v>
      </c>
      <c r="L30" s="85">
        <v>0</v>
      </c>
      <c r="M30" s="85">
        <f>64.6848+42.56118+19.58832-1.5814</f>
        <v>125.2529</v>
      </c>
      <c r="N30" s="81">
        <f t="shared" si="13"/>
        <v>300</v>
      </c>
      <c r="O30" s="82">
        <v>0</v>
      </c>
      <c r="P30" s="82">
        <v>0</v>
      </c>
      <c r="Q30" s="82">
        <v>0</v>
      </c>
      <c r="R30" s="81">
        <f t="shared" si="14"/>
        <v>300</v>
      </c>
      <c r="S30" s="82">
        <v>0</v>
      </c>
      <c r="T30" s="82">
        <v>0</v>
      </c>
      <c r="U30" s="89">
        <v>300</v>
      </c>
      <c r="V30" s="81">
        <f t="shared" si="15"/>
        <v>0</v>
      </c>
      <c r="W30" s="82">
        <v>0</v>
      </c>
      <c r="X30" s="82">
        <v>0</v>
      </c>
      <c r="Y30" s="82">
        <v>0</v>
      </c>
      <c r="Z30" s="81">
        <f t="shared" si="16"/>
        <v>0</v>
      </c>
      <c r="AA30" s="82">
        <v>0</v>
      </c>
      <c r="AB30" s="82">
        <v>0</v>
      </c>
      <c r="AC30" s="82">
        <v>0</v>
      </c>
    </row>
    <row r="31" spans="1:64" ht="31.5" customHeight="1">
      <c r="A31" s="27" t="s">
        <v>11</v>
      </c>
      <c r="B31" s="101" t="s">
        <v>46</v>
      </c>
      <c r="C31" s="86" t="s">
        <v>23</v>
      </c>
      <c r="D31" s="81">
        <f t="shared" si="8"/>
        <v>0</v>
      </c>
      <c r="E31" s="82">
        <f t="shared" si="9"/>
        <v>0</v>
      </c>
      <c r="F31" s="83">
        <f t="shared" si="9"/>
        <v>0</v>
      </c>
      <c r="G31" s="83">
        <f t="shared" si="9"/>
        <v>0</v>
      </c>
      <c r="H31" s="83">
        <f t="shared" si="10"/>
        <v>0</v>
      </c>
      <c r="I31" s="84">
        <f t="shared" si="11"/>
        <v>0</v>
      </c>
      <c r="J31" s="84">
        <f t="shared" si="12"/>
        <v>0</v>
      </c>
      <c r="K31" s="85">
        <v>0</v>
      </c>
      <c r="L31" s="85">
        <v>0</v>
      </c>
      <c r="M31" s="85">
        <v>0</v>
      </c>
      <c r="N31" s="81">
        <f t="shared" si="13"/>
        <v>0</v>
      </c>
      <c r="O31" s="82">
        <v>0</v>
      </c>
      <c r="P31" s="82">
        <v>0</v>
      </c>
      <c r="Q31" s="82">
        <v>0</v>
      </c>
      <c r="R31" s="81">
        <f t="shared" si="14"/>
        <v>0</v>
      </c>
      <c r="S31" s="82">
        <v>0</v>
      </c>
      <c r="T31" s="82">
        <v>0</v>
      </c>
      <c r="U31" s="82">
        <v>0</v>
      </c>
      <c r="V31" s="81">
        <f t="shared" si="15"/>
        <v>0</v>
      </c>
      <c r="W31" s="82">
        <v>0</v>
      </c>
      <c r="X31" s="82">
        <v>0</v>
      </c>
      <c r="Y31" s="82">
        <v>0</v>
      </c>
      <c r="Z31" s="81">
        <f t="shared" si="16"/>
        <v>0</v>
      </c>
      <c r="AA31" s="82">
        <v>0</v>
      </c>
      <c r="AB31" s="82">
        <v>0</v>
      </c>
      <c r="AC31" s="82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42" customHeight="1">
      <c r="A32" s="27" t="s">
        <v>69</v>
      </c>
      <c r="B32" s="101" t="s">
        <v>133</v>
      </c>
      <c r="C32" s="86" t="s">
        <v>23</v>
      </c>
      <c r="D32" s="81">
        <f>SUM(E32:H32)</f>
        <v>17.09</v>
      </c>
      <c r="E32" s="82">
        <f>W32</f>
        <v>0</v>
      </c>
      <c r="F32" s="83">
        <f>X32</f>
        <v>0</v>
      </c>
      <c r="G32" s="83">
        <f>Y32</f>
        <v>0</v>
      </c>
      <c r="H32" s="83">
        <f>J32+R32</f>
        <v>17.09</v>
      </c>
      <c r="I32" s="84">
        <f>J32</f>
        <v>0</v>
      </c>
      <c r="J32" s="84">
        <f>SUM(K32:M32)</f>
        <v>0</v>
      </c>
      <c r="K32" s="85">
        <v>0</v>
      </c>
      <c r="L32" s="85">
        <v>0</v>
      </c>
      <c r="M32" s="85">
        <v>0</v>
      </c>
      <c r="N32" s="81">
        <f>SUM(O32:R32)</f>
        <v>17.09</v>
      </c>
      <c r="O32" s="82">
        <v>0</v>
      </c>
      <c r="P32" s="82">
        <v>0</v>
      </c>
      <c r="Q32" s="82">
        <v>0</v>
      </c>
      <c r="R32" s="81">
        <f>SUM(S32:U32)</f>
        <v>17.09</v>
      </c>
      <c r="S32" s="82">
        <v>0</v>
      </c>
      <c r="T32" s="82">
        <v>0</v>
      </c>
      <c r="U32" s="82">
        <v>17.09</v>
      </c>
      <c r="V32" s="81">
        <f>W32+X32+Y32</f>
        <v>0</v>
      </c>
      <c r="W32" s="82">
        <v>0</v>
      </c>
      <c r="X32" s="82">
        <v>0</v>
      </c>
      <c r="Y32" s="82">
        <v>0</v>
      </c>
      <c r="Z32" s="81">
        <f>AA32+AB32+AC32</f>
        <v>0</v>
      </c>
      <c r="AA32" s="82">
        <v>0</v>
      </c>
      <c r="AB32" s="82">
        <v>0</v>
      </c>
      <c r="AC32" s="82">
        <v>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29" ht="48.75" customHeight="1">
      <c r="A33" s="28"/>
      <c r="B33" s="98" t="s">
        <v>111</v>
      </c>
      <c r="C33" s="77"/>
      <c r="D33" s="76">
        <f>D34</f>
        <v>7237.19524</v>
      </c>
      <c r="E33" s="76">
        <f aca="true" t="shared" si="17" ref="E33:AC33">E34</f>
        <v>0</v>
      </c>
      <c r="F33" s="76">
        <f t="shared" si="17"/>
        <v>0</v>
      </c>
      <c r="G33" s="76">
        <f t="shared" si="17"/>
        <v>0</v>
      </c>
      <c r="H33" s="76">
        <f t="shared" si="17"/>
        <v>7237.19524</v>
      </c>
      <c r="I33" s="76">
        <f t="shared" si="17"/>
        <v>2230.3502200000003</v>
      </c>
      <c r="J33" s="76">
        <f t="shared" si="7"/>
        <v>2230.3502200000003</v>
      </c>
      <c r="K33" s="76">
        <f t="shared" si="17"/>
        <v>0</v>
      </c>
      <c r="L33" s="76">
        <f t="shared" si="17"/>
        <v>662.022</v>
      </c>
      <c r="M33" s="76">
        <f t="shared" si="17"/>
        <v>1568.32822</v>
      </c>
      <c r="N33" s="76">
        <f t="shared" si="17"/>
        <v>5006.84502</v>
      </c>
      <c r="O33" s="76">
        <f t="shared" si="17"/>
        <v>0</v>
      </c>
      <c r="P33" s="76">
        <f t="shared" si="17"/>
        <v>0</v>
      </c>
      <c r="Q33" s="76">
        <f t="shared" si="17"/>
        <v>0</v>
      </c>
      <c r="R33" s="76">
        <f t="shared" si="17"/>
        <v>5006.84502</v>
      </c>
      <c r="S33" s="76">
        <f t="shared" si="17"/>
        <v>0</v>
      </c>
      <c r="T33" s="76">
        <f t="shared" si="17"/>
        <v>2062.31</v>
      </c>
      <c r="U33" s="76">
        <f>U34</f>
        <v>2944.53502</v>
      </c>
      <c r="V33" s="76">
        <f t="shared" si="17"/>
        <v>0</v>
      </c>
      <c r="W33" s="76">
        <f t="shared" si="17"/>
        <v>0</v>
      </c>
      <c r="X33" s="76">
        <f t="shared" si="17"/>
        <v>0</v>
      </c>
      <c r="Y33" s="76">
        <f t="shared" si="17"/>
        <v>0</v>
      </c>
      <c r="Z33" s="76">
        <f t="shared" si="17"/>
        <v>0</v>
      </c>
      <c r="AA33" s="76">
        <f t="shared" si="17"/>
        <v>0</v>
      </c>
      <c r="AB33" s="76">
        <f t="shared" si="17"/>
        <v>0</v>
      </c>
      <c r="AC33" s="76">
        <f t="shared" si="17"/>
        <v>0</v>
      </c>
    </row>
    <row r="34" spans="1:29" ht="60" customHeight="1">
      <c r="A34" s="29" t="s">
        <v>12</v>
      </c>
      <c r="B34" s="108" t="s">
        <v>47</v>
      </c>
      <c r="C34" s="90"/>
      <c r="D34" s="91">
        <f>D35+D39</f>
        <v>7237.19524</v>
      </c>
      <c r="E34" s="91">
        <f aca="true" t="shared" si="18" ref="E34:Y34">E35+E39</f>
        <v>0</v>
      </c>
      <c r="F34" s="91">
        <f t="shared" si="18"/>
        <v>0</v>
      </c>
      <c r="G34" s="91">
        <f t="shared" si="18"/>
        <v>0</v>
      </c>
      <c r="H34" s="91">
        <f t="shared" si="18"/>
        <v>7237.19524</v>
      </c>
      <c r="I34" s="91">
        <f t="shared" si="18"/>
        <v>2230.3502200000003</v>
      </c>
      <c r="J34" s="79">
        <f t="shared" si="7"/>
        <v>2230.3502200000003</v>
      </c>
      <c r="K34" s="91">
        <f t="shared" si="18"/>
        <v>0</v>
      </c>
      <c r="L34" s="91">
        <f t="shared" si="18"/>
        <v>662.022</v>
      </c>
      <c r="M34" s="91">
        <f t="shared" si="18"/>
        <v>1568.32822</v>
      </c>
      <c r="N34" s="91">
        <f t="shared" si="18"/>
        <v>5006.84502</v>
      </c>
      <c r="O34" s="91">
        <f t="shared" si="18"/>
        <v>0</v>
      </c>
      <c r="P34" s="91">
        <f t="shared" si="18"/>
        <v>0</v>
      </c>
      <c r="Q34" s="91">
        <f t="shared" si="18"/>
        <v>0</v>
      </c>
      <c r="R34" s="91">
        <f t="shared" si="18"/>
        <v>5006.84502</v>
      </c>
      <c r="S34" s="91">
        <f t="shared" si="18"/>
        <v>0</v>
      </c>
      <c r="T34" s="91">
        <f>T35+T39</f>
        <v>2062.31</v>
      </c>
      <c r="U34" s="91">
        <f t="shared" si="18"/>
        <v>2944.53502</v>
      </c>
      <c r="V34" s="91">
        <f t="shared" si="18"/>
        <v>0</v>
      </c>
      <c r="W34" s="91">
        <f t="shared" si="18"/>
        <v>0</v>
      </c>
      <c r="X34" s="91">
        <f t="shared" si="18"/>
        <v>0</v>
      </c>
      <c r="Y34" s="91">
        <f t="shared" si="18"/>
        <v>0</v>
      </c>
      <c r="Z34" s="91">
        <f>Z35+Z39</f>
        <v>0</v>
      </c>
      <c r="AA34" s="91">
        <f>AA35+AA39</f>
        <v>0</v>
      </c>
      <c r="AB34" s="91">
        <f>AB35+AB39</f>
        <v>0</v>
      </c>
      <c r="AC34" s="91">
        <f>AC35+AC39</f>
        <v>0</v>
      </c>
    </row>
    <row r="35" spans="1:29" ht="57.75" customHeight="1">
      <c r="A35" s="27" t="s">
        <v>24</v>
      </c>
      <c r="B35" s="109" t="s">
        <v>65</v>
      </c>
      <c r="C35" s="92" t="s">
        <v>25</v>
      </c>
      <c r="D35" s="81">
        <f>SUM(E35:H35)</f>
        <v>7110.38454</v>
      </c>
      <c r="E35" s="82">
        <f aca="true" t="shared" si="19" ref="E35:G39">W35</f>
        <v>0</v>
      </c>
      <c r="F35" s="83">
        <f t="shared" si="19"/>
        <v>0</v>
      </c>
      <c r="G35" s="83">
        <f t="shared" si="19"/>
        <v>0</v>
      </c>
      <c r="H35" s="83">
        <f>J35+R35</f>
        <v>7110.38454</v>
      </c>
      <c r="I35" s="84">
        <f>J35</f>
        <v>2203.5395200000003</v>
      </c>
      <c r="J35" s="84">
        <f>SUM(K35:M35)</f>
        <v>2203.5395200000003</v>
      </c>
      <c r="K35" s="85">
        <v>0</v>
      </c>
      <c r="L35" s="85">
        <v>662.022</v>
      </c>
      <c r="M35" s="89">
        <f>1228.67152+312.846</f>
        <v>1541.51752</v>
      </c>
      <c r="N35" s="81">
        <f>SUM(O35:R35)</f>
        <v>4906.84502</v>
      </c>
      <c r="O35" s="82">
        <v>0</v>
      </c>
      <c r="P35" s="82">
        <v>0</v>
      </c>
      <c r="Q35" s="82">
        <v>0</v>
      </c>
      <c r="R35" s="81">
        <f>SUM(S35:U35)</f>
        <v>4906.84502</v>
      </c>
      <c r="S35" s="82">
        <v>0</v>
      </c>
      <c r="T35" s="82">
        <f>T36</f>
        <v>2062.31</v>
      </c>
      <c r="U35" s="89">
        <f>2944.53502-100</f>
        <v>2844.53502</v>
      </c>
      <c r="V35" s="81">
        <f>W35+X35+Y35</f>
        <v>0</v>
      </c>
      <c r="W35" s="82">
        <v>0</v>
      </c>
      <c r="X35" s="82">
        <v>0</v>
      </c>
      <c r="Y35" s="82">
        <v>0</v>
      </c>
      <c r="Z35" s="81">
        <f>AA35+AB35+AC35</f>
        <v>0</v>
      </c>
      <c r="AA35" s="82">
        <v>0</v>
      </c>
      <c r="AB35" s="82">
        <v>0</v>
      </c>
      <c r="AC35" s="82">
        <v>0</v>
      </c>
    </row>
    <row r="36" spans="1:29" ht="32.25" customHeight="1">
      <c r="A36" s="27"/>
      <c r="B36" s="106" t="s">
        <v>61</v>
      </c>
      <c r="C36" s="92" t="s">
        <v>25</v>
      </c>
      <c r="D36" s="81">
        <f>SUM(E36:H36)</f>
        <v>2867.723</v>
      </c>
      <c r="E36" s="82">
        <f t="shared" si="19"/>
        <v>0</v>
      </c>
      <c r="F36" s="83">
        <f t="shared" si="19"/>
        <v>0</v>
      </c>
      <c r="G36" s="83">
        <f t="shared" si="19"/>
        <v>0</v>
      </c>
      <c r="H36" s="83">
        <f>J36+R36</f>
        <v>2867.723</v>
      </c>
      <c r="I36" s="84">
        <f>J36</f>
        <v>696.8629999999999</v>
      </c>
      <c r="J36" s="84">
        <f>SUM(K36:M36)</f>
        <v>696.8629999999999</v>
      </c>
      <c r="K36" s="85">
        <v>0</v>
      </c>
      <c r="L36" s="85">
        <f>508.465+153.557</f>
        <v>662.0219999999999</v>
      </c>
      <c r="M36" s="85">
        <f>26.76+8.081</f>
        <v>34.841</v>
      </c>
      <c r="N36" s="81">
        <f>SUM(O36:R36)</f>
        <v>2170.86</v>
      </c>
      <c r="O36" s="82">
        <v>0</v>
      </c>
      <c r="P36" s="82">
        <v>0</v>
      </c>
      <c r="Q36" s="82">
        <v>0</v>
      </c>
      <c r="R36" s="81">
        <f>SUM(S36:U36)</f>
        <v>2170.86</v>
      </c>
      <c r="S36" s="82">
        <v>0</v>
      </c>
      <c r="T36" s="82">
        <v>2062.31</v>
      </c>
      <c r="U36" s="89">
        <v>108.55</v>
      </c>
      <c r="V36" s="81">
        <f>W36+X36+Y36</f>
        <v>0</v>
      </c>
      <c r="W36" s="82">
        <v>0</v>
      </c>
      <c r="X36" s="82">
        <v>0</v>
      </c>
      <c r="Y36" s="82">
        <v>0</v>
      </c>
      <c r="Z36" s="81">
        <f>AA36+AB36+AC36</f>
        <v>0</v>
      </c>
      <c r="AA36" s="82">
        <v>0</v>
      </c>
      <c r="AB36" s="82">
        <v>0</v>
      </c>
      <c r="AC36" s="82">
        <v>0</v>
      </c>
    </row>
    <row r="37" spans="1:29" ht="39.75" customHeight="1">
      <c r="A37" s="27"/>
      <c r="B37" s="106" t="s">
        <v>62</v>
      </c>
      <c r="C37" s="92" t="s">
        <v>25</v>
      </c>
      <c r="D37" s="81">
        <f>SUM(E37:H37)</f>
        <v>0</v>
      </c>
      <c r="E37" s="82">
        <f t="shared" si="19"/>
        <v>0</v>
      </c>
      <c r="F37" s="83">
        <f t="shared" si="19"/>
        <v>0</v>
      </c>
      <c r="G37" s="83">
        <f t="shared" si="19"/>
        <v>0</v>
      </c>
      <c r="H37" s="83">
        <f>J37+R37</f>
        <v>0</v>
      </c>
      <c r="I37" s="84">
        <f>J37</f>
        <v>0</v>
      </c>
      <c r="J37" s="84">
        <f>SUM(K37:M37)</f>
        <v>0</v>
      </c>
      <c r="K37" s="85">
        <v>0</v>
      </c>
      <c r="L37" s="85">
        <v>0</v>
      </c>
      <c r="M37" s="85">
        <v>0</v>
      </c>
      <c r="N37" s="81">
        <f>SUM(O37:R37)</f>
        <v>0</v>
      </c>
      <c r="O37" s="82">
        <v>0</v>
      </c>
      <c r="P37" s="82">
        <v>0</v>
      </c>
      <c r="Q37" s="82">
        <v>0</v>
      </c>
      <c r="R37" s="81">
        <f>SUM(S37:U37)</f>
        <v>0</v>
      </c>
      <c r="S37" s="82">
        <v>0</v>
      </c>
      <c r="T37" s="82">
        <v>0</v>
      </c>
      <c r="U37" s="82">
        <v>0</v>
      </c>
      <c r="V37" s="81">
        <f>W37+X37+Y37</f>
        <v>0</v>
      </c>
      <c r="W37" s="82">
        <v>0</v>
      </c>
      <c r="X37" s="82">
        <v>0</v>
      </c>
      <c r="Y37" s="82">
        <v>0</v>
      </c>
      <c r="Z37" s="81">
        <f>AA37+AB37+AC37</f>
        <v>0</v>
      </c>
      <c r="AA37" s="82">
        <v>0</v>
      </c>
      <c r="AB37" s="82">
        <v>0</v>
      </c>
      <c r="AC37" s="82">
        <v>0</v>
      </c>
    </row>
    <row r="38" spans="1:29" ht="36.75" customHeight="1">
      <c r="A38" s="27"/>
      <c r="B38" s="106" t="s">
        <v>63</v>
      </c>
      <c r="C38" s="92" t="s">
        <v>25</v>
      </c>
      <c r="D38" s="81">
        <f>SUM(E38:H38)</f>
        <v>0</v>
      </c>
      <c r="E38" s="82">
        <f t="shared" si="19"/>
        <v>0</v>
      </c>
      <c r="F38" s="83">
        <f t="shared" si="19"/>
        <v>0</v>
      </c>
      <c r="G38" s="83">
        <f t="shared" si="19"/>
        <v>0</v>
      </c>
      <c r="H38" s="83">
        <f>J38+R38</f>
        <v>0</v>
      </c>
      <c r="I38" s="84">
        <f>J38</f>
        <v>0</v>
      </c>
      <c r="J38" s="84">
        <f>SUM(K38:M38)</f>
        <v>0</v>
      </c>
      <c r="K38" s="85">
        <v>0</v>
      </c>
      <c r="L38" s="85">
        <v>0</v>
      </c>
      <c r="M38" s="85">
        <v>0</v>
      </c>
      <c r="N38" s="81">
        <f>SUM(O38:R38)</f>
        <v>0</v>
      </c>
      <c r="O38" s="82">
        <v>0</v>
      </c>
      <c r="P38" s="82">
        <v>0</v>
      </c>
      <c r="Q38" s="82">
        <v>0</v>
      </c>
      <c r="R38" s="81">
        <f>SUM(S38:U38)</f>
        <v>0</v>
      </c>
      <c r="S38" s="82">
        <v>0</v>
      </c>
      <c r="T38" s="82">
        <v>0</v>
      </c>
      <c r="U38" s="82">
        <v>0</v>
      </c>
      <c r="V38" s="81">
        <f>W38+X38+Y38</f>
        <v>0</v>
      </c>
      <c r="W38" s="82">
        <v>0</v>
      </c>
      <c r="X38" s="82">
        <v>0</v>
      </c>
      <c r="Y38" s="82">
        <v>0</v>
      </c>
      <c r="Z38" s="81">
        <f>AA38+AB38+AC38</f>
        <v>0</v>
      </c>
      <c r="AA38" s="82">
        <v>0</v>
      </c>
      <c r="AB38" s="82">
        <v>0</v>
      </c>
      <c r="AC38" s="82">
        <v>0</v>
      </c>
    </row>
    <row r="39" spans="1:29" ht="58.5" customHeight="1">
      <c r="A39" s="27" t="s">
        <v>13</v>
      </c>
      <c r="B39" s="107" t="s">
        <v>48</v>
      </c>
      <c r="C39" s="92" t="s">
        <v>25</v>
      </c>
      <c r="D39" s="81">
        <f>SUM(E39:H39)</f>
        <v>126.8107</v>
      </c>
      <c r="E39" s="82">
        <f t="shared" si="19"/>
        <v>0</v>
      </c>
      <c r="F39" s="83">
        <f t="shared" si="19"/>
        <v>0</v>
      </c>
      <c r="G39" s="83">
        <f t="shared" si="19"/>
        <v>0</v>
      </c>
      <c r="H39" s="83">
        <f>J39+R39</f>
        <v>126.8107</v>
      </c>
      <c r="I39" s="84">
        <f>J39</f>
        <v>26.8107</v>
      </c>
      <c r="J39" s="84">
        <f>SUM(K39:M39)</f>
        <v>26.8107</v>
      </c>
      <c r="K39" s="85">
        <v>0</v>
      </c>
      <c r="L39" s="85">
        <v>0</v>
      </c>
      <c r="M39" s="85">
        <f>30-3.1893</f>
        <v>26.8107</v>
      </c>
      <c r="N39" s="81">
        <f>SUM(O39:R39)</f>
        <v>100</v>
      </c>
      <c r="O39" s="82">
        <v>0</v>
      </c>
      <c r="P39" s="82">
        <v>0</v>
      </c>
      <c r="Q39" s="82">
        <v>0</v>
      </c>
      <c r="R39" s="81">
        <f>SUM(S39:U39)</f>
        <v>100</v>
      </c>
      <c r="S39" s="82">
        <v>0</v>
      </c>
      <c r="T39" s="82">
        <v>0</v>
      </c>
      <c r="U39" s="82">
        <v>100</v>
      </c>
      <c r="V39" s="81">
        <f>W39+X39+Y39</f>
        <v>0</v>
      </c>
      <c r="W39" s="82">
        <v>0</v>
      </c>
      <c r="X39" s="82">
        <v>0</v>
      </c>
      <c r="Y39" s="82">
        <v>0</v>
      </c>
      <c r="Z39" s="81">
        <f>AA39+AB39+AC39</f>
        <v>0</v>
      </c>
      <c r="AA39" s="82">
        <v>0</v>
      </c>
      <c r="AB39" s="82">
        <v>0</v>
      </c>
      <c r="AC39" s="82">
        <v>0</v>
      </c>
    </row>
    <row r="40" spans="1:29" ht="51.75" customHeight="1">
      <c r="A40" s="36"/>
      <c r="B40" s="98" t="s">
        <v>112</v>
      </c>
      <c r="C40" s="93"/>
      <c r="D40" s="76">
        <f>D41</f>
        <v>8631.84737</v>
      </c>
      <c r="E40" s="76">
        <f aca="true" t="shared" si="20" ref="E40:AC40">E41</f>
        <v>0</v>
      </c>
      <c r="F40" s="76">
        <f t="shared" si="20"/>
        <v>0</v>
      </c>
      <c r="G40" s="76">
        <f t="shared" si="20"/>
        <v>0</v>
      </c>
      <c r="H40" s="76">
        <f t="shared" si="20"/>
        <v>8631.84737</v>
      </c>
      <c r="I40" s="76">
        <f t="shared" si="20"/>
        <v>130</v>
      </c>
      <c r="J40" s="76">
        <f t="shared" si="7"/>
        <v>130</v>
      </c>
      <c r="K40" s="76">
        <f t="shared" si="20"/>
        <v>0</v>
      </c>
      <c r="L40" s="76">
        <f t="shared" si="20"/>
        <v>0</v>
      </c>
      <c r="M40" s="76">
        <f t="shared" si="20"/>
        <v>130</v>
      </c>
      <c r="N40" s="76">
        <f>N41</f>
        <v>8501.84737</v>
      </c>
      <c r="O40" s="76">
        <f>O41</f>
        <v>0</v>
      </c>
      <c r="P40" s="76">
        <f>P41</f>
        <v>0</v>
      </c>
      <c r="Q40" s="76">
        <f>Q41</f>
        <v>0</v>
      </c>
      <c r="R40" s="76">
        <f>R41</f>
        <v>8501.84737</v>
      </c>
      <c r="S40" s="76">
        <f t="shared" si="20"/>
        <v>0</v>
      </c>
      <c r="T40" s="76">
        <f t="shared" si="20"/>
        <v>7801.255</v>
      </c>
      <c r="U40" s="76">
        <f>U41</f>
        <v>700.5923700000001</v>
      </c>
      <c r="V40" s="76">
        <f t="shared" si="20"/>
        <v>0</v>
      </c>
      <c r="W40" s="76">
        <f t="shared" si="20"/>
        <v>0</v>
      </c>
      <c r="X40" s="76">
        <f t="shared" si="20"/>
        <v>0</v>
      </c>
      <c r="Y40" s="76">
        <f t="shared" si="20"/>
        <v>0</v>
      </c>
      <c r="Z40" s="76">
        <f t="shared" si="20"/>
        <v>0</v>
      </c>
      <c r="AA40" s="76">
        <f t="shared" si="20"/>
        <v>0</v>
      </c>
      <c r="AB40" s="76">
        <f t="shared" si="20"/>
        <v>0</v>
      </c>
      <c r="AC40" s="76">
        <f t="shared" si="20"/>
        <v>0</v>
      </c>
    </row>
    <row r="41" spans="1:29" ht="38.25" customHeight="1">
      <c r="A41" s="37"/>
      <c r="B41" s="110" t="s">
        <v>79</v>
      </c>
      <c r="C41" s="90"/>
      <c r="D41" s="79">
        <f aca="true" t="shared" si="21" ref="D41:Q41">SUM(D42+D43)+D44+D47+D48+D49+D50+D51</f>
        <v>8631.84737</v>
      </c>
      <c r="E41" s="79">
        <f t="shared" si="21"/>
        <v>0</v>
      </c>
      <c r="F41" s="79">
        <f t="shared" si="21"/>
        <v>0</v>
      </c>
      <c r="G41" s="79">
        <f t="shared" si="21"/>
        <v>0</v>
      </c>
      <c r="H41" s="79">
        <f t="shared" si="21"/>
        <v>8631.84737</v>
      </c>
      <c r="I41" s="79">
        <f t="shared" si="21"/>
        <v>130</v>
      </c>
      <c r="J41" s="79">
        <f t="shared" si="21"/>
        <v>130</v>
      </c>
      <c r="K41" s="79">
        <f t="shared" si="21"/>
        <v>0</v>
      </c>
      <c r="L41" s="79">
        <f t="shared" si="21"/>
        <v>0</v>
      </c>
      <c r="M41" s="79">
        <f t="shared" si="21"/>
        <v>130</v>
      </c>
      <c r="N41" s="79">
        <f t="shared" si="21"/>
        <v>8501.84737</v>
      </c>
      <c r="O41" s="79">
        <f t="shared" si="21"/>
        <v>0</v>
      </c>
      <c r="P41" s="79">
        <f t="shared" si="21"/>
        <v>0</v>
      </c>
      <c r="Q41" s="79">
        <f t="shared" si="21"/>
        <v>0</v>
      </c>
      <c r="R41" s="79">
        <f>SUM(R42+R43)+R44+R47+R48+R49+R50+R51</f>
        <v>8501.84737</v>
      </c>
      <c r="S41" s="79">
        <f aca="true" t="shared" si="22" ref="S41:AC41">SUM(S42+S43)+S44+S47+S48+S49+S50+S51</f>
        <v>0</v>
      </c>
      <c r="T41" s="79">
        <f t="shared" si="22"/>
        <v>7801.255</v>
      </c>
      <c r="U41" s="79">
        <f t="shared" si="22"/>
        <v>700.5923700000001</v>
      </c>
      <c r="V41" s="79">
        <f t="shared" si="22"/>
        <v>0</v>
      </c>
      <c r="W41" s="79">
        <f t="shared" si="22"/>
        <v>0</v>
      </c>
      <c r="X41" s="79">
        <f t="shared" si="22"/>
        <v>0</v>
      </c>
      <c r="Y41" s="79">
        <f t="shared" si="22"/>
        <v>0</v>
      </c>
      <c r="Z41" s="79">
        <f t="shared" si="22"/>
        <v>0</v>
      </c>
      <c r="AA41" s="79">
        <f t="shared" si="22"/>
        <v>0</v>
      </c>
      <c r="AB41" s="79">
        <f t="shared" si="22"/>
        <v>0</v>
      </c>
      <c r="AC41" s="79">
        <f t="shared" si="22"/>
        <v>0</v>
      </c>
    </row>
    <row r="42" spans="1:29" ht="31.5" customHeight="1">
      <c r="A42" s="27" t="s">
        <v>70</v>
      </c>
      <c r="B42" s="111" t="s">
        <v>71</v>
      </c>
      <c r="C42" s="86" t="s">
        <v>23</v>
      </c>
      <c r="D42" s="81">
        <f aca="true" t="shared" si="23" ref="D42:D51">SUM(E42:H42)</f>
        <v>30</v>
      </c>
      <c r="E42" s="82">
        <f>K42+S42+W42</f>
        <v>0</v>
      </c>
      <c r="F42" s="83">
        <f aca="true" t="shared" si="24" ref="F42:G46">X42</f>
        <v>0</v>
      </c>
      <c r="G42" s="83">
        <f t="shared" si="24"/>
        <v>0</v>
      </c>
      <c r="H42" s="83">
        <f aca="true" t="shared" si="25" ref="H42:H51">J42+R42</f>
        <v>30</v>
      </c>
      <c r="I42" s="84">
        <f>J42</f>
        <v>30</v>
      </c>
      <c r="J42" s="84">
        <f aca="true" t="shared" si="26" ref="J42:J51">SUM(K42:M42)</f>
        <v>30</v>
      </c>
      <c r="K42" s="85">
        <v>0</v>
      </c>
      <c r="L42" s="85">
        <v>0</v>
      </c>
      <c r="M42" s="85">
        <v>30</v>
      </c>
      <c r="N42" s="81">
        <f aca="true" t="shared" si="27" ref="N42:N47">SUM(O42:R42)</f>
        <v>0</v>
      </c>
      <c r="O42" s="82">
        <v>0</v>
      </c>
      <c r="P42" s="82">
        <v>0</v>
      </c>
      <c r="Q42" s="82">
        <v>0</v>
      </c>
      <c r="R42" s="81">
        <f aca="true" t="shared" si="28" ref="R42:R51">SUM(S42:U42)</f>
        <v>0</v>
      </c>
      <c r="S42" s="82">
        <v>0</v>
      </c>
      <c r="T42" s="82">
        <v>0</v>
      </c>
      <c r="U42" s="82">
        <v>0</v>
      </c>
      <c r="V42" s="81">
        <f>W42+X42+Y42</f>
        <v>0</v>
      </c>
      <c r="W42" s="82">
        <v>0</v>
      </c>
      <c r="X42" s="82">
        <v>0</v>
      </c>
      <c r="Y42" s="82">
        <v>0</v>
      </c>
      <c r="Z42" s="81">
        <f>AA42+AB42+AC42</f>
        <v>0</v>
      </c>
      <c r="AA42" s="82">
        <v>0</v>
      </c>
      <c r="AB42" s="82">
        <v>0</v>
      </c>
      <c r="AC42" s="82">
        <v>0</v>
      </c>
    </row>
    <row r="43" spans="1:64" s="4" customFormat="1" ht="31.5" customHeight="1">
      <c r="A43" s="27" t="s">
        <v>72</v>
      </c>
      <c r="B43" s="112" t="s">
        <v>73</v>
      </c>
      <c r="C43" s="92" t="s">
        <v>25</v>
      </c>
      <c r="D43" s="81">
        <f t="shared" si="23"/>
        <v>100</v>
      </c>
      <c r="E43" s="82">
        <f>K43+S43+W43</f>
        <v>0</v>
      </c>
      <c r="F43" s="83">
        <f t="shared" si="24"/>
        <v>0</v>
      </c>
      <c r="G43" s="83">
        <f t="shared" si="24"/>
        <v>0</v>
      </c>
      <c r="H43" s="83">
        <f t="shared" si="25"/>
        <v>100</v>
      </c>
      <c r="I43" s="84">
        <f>J43</f>
        <v>100</v>
      </c>
      <c r="J43" s="84">
        <f t="shared" si="26"/>
        <v>100</v>
      </c>
      <c r="K43" s="85">
        <v>0</v>
      </c>
      <c r="L43" s="85">
        <v>0</v>
      </c>
      <c r="M43" s="85">
        <v>100</v>
      </c>
      <c r="N43" s="81">
        <f t="shared" si="27"/>
        <v>0</v>
      </c>
      <c r="O43" s="82">
        <v>0</v>
      </c>
      <c r="P43" s="82">
        <v>0</v>
      </c>
      <c r="Q43" s="82">
        <v>0</v>
      </c>
      <c r="R43" s="81">
        <f t="shared" si="28"/>
        <v>0</v>
      </c>
      <c r="S43" s="82">
        <v>0</v>
      </c>
      <c r="T43" s="82">
        <v>0</v>
      </c>
      <c r="U43" s="82">
        <v>0</v>
      </c>
      <c r="V43" s="81">
        <f>W43+X43+Y43</f>
        <v>0</v>
      </c>
      <c r="W43" s="82">
        <v>0</v>
      </c>
      <c r="X43" s="82">
        <v>0</v>
      </c>
      <c r="Y43" s="82">
        <v>0</v>
      </c>
      <c r="Z43" s="81">
        <f>AA43+AB43+AC43</f>
        <v>0</v>
      </c>
      <c r="AA43" s="82">
        <v>0</v>
      </c>
      <c r="AB43" s="82">
        <v>0</v>
      </c>
      <c r="AC43" s="82">
        <v>0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29" s="73" customFormat="1" ht="61.5" customHeight="1">
      <c r="A44" s="27" t="s">
        <v>101</v>
      </c>
      <c r="B44" s="113" t="s">
        <v>104</v>
      </c>
      <c r="C44" s="86" t="s">
        <v>23</v>
      </c>
      <c r="D44" s="81">
        <f t="shared" si="23"/>
        <v>8211.84737</v>
      </c>
      <c r="E44" s="81">
        <f aca="true" t="shared" si="29" ref="E44:AC44">E45</f>
        <v>0</v>
      </c>
      <c r="F44" s="83">
        <f>X44</f>
        <v>0</v>
      </c>
      <c r="G44" s="83">
        <f t="shared" si="24"/>
        <v>0</v>
      </c>
      <c r="H44" s="83">
        <f t="shared" si="25"/>
        <v>8211.84737</v>
      </c>
      <c r="I44" s="84">
        <f>J44</f>
        <v>0</v>
      </c>
      <c r="J44" s="84">
        <f t="shared" si="26"/>
        <v>0</v>
      </c>
      <c r="K44" s="81">
        <f t="shared" si="29"/>
        <v>0</v>
      </c>
      <c r="L44" s="81">
        <f t="shared" si="29"/>
        <v>0</v>
      </c>
      <c r="M44" s="81">
        <f t="shared" si="29"/>
        <v>0</v>
      </c>
      <c r="N44" s="81">
        <f t="shared" si="27"/>
        <v>8211.84737</v>
      </c>
      <c r="O44" s="82">
        <v>0</v>
      </c>
      <c r="P44" s="82">
        <v>0</v>
      </c>
      <c r="Q44" s="82">
        <v>0</v>
      </c>
      <c r="R44" s="81">
        <f>SUM(S44:U44)</f>
        <v>8211.84737</v>
      </c>
      <c r="S44" s="81">
        <f t="shared" si="29"/>
        <v>0</v>
      </c>
      <c r="T44" s="81">
        <f>SUM(T45:T46)</f>
        <v>7801.255</v>
      </c>
      <c r="U44" s="81">
        <f>SUM(U45:U46)</f>
        <v>410.59237</v>
      </c>
      <c r="V44" s="81">
        <f t="shared" si="29"/>
        <v>0</v>
      </c>
      <c r="W44" s="81">
        <f t="shared" si="29"/>
        <v>0</v>
      </c>
      <c r="X44" s="81">
        <f t="shared" si="29"/>
        <v>0</v>
      </c>
      <c r="Y44" s="81">
        <f t="shared" si="29"/>
        <v>0</v>
      </c>
      <c r="Z44" s="81">
        <f t="shared" si="29"/>
        <v>0</v>
      </c>
      <c r="AA44" s="81">
        <f t="shared" si="29"/>
        <v>0</v>
      </c>
      <c r="AB44" s="81">
        <f t="shared" si="29"/>
        <v>0</v>
      </c>
      <c r="AC44" s="81">
        <f t="shared" si="29"/>
        <v>0</v>
      </c>
    </row>
    <row r="45" spans="1:29" s="73" customFormat="1" ht="52.5" customHeight="1">
      <c r="A45" s="27"/>
      <c r="B45" s="147" t="s">
        <v>149</v>
      </c>
      <c r="C45" s="86" t="s">
        <v>23</v>
      </c>
      <c r="D45" s="81">
        <f t="shared" si="23"/>
        <v>7316.810530000001</v>
      </c>
      <c r="E45" s="94">
        <v>0</v>
      </c>
      <c r="F45" s="83">
        <f>X45</f>
        <v>0</v>
      </c>
      <c r="G45" s="83">
        <f t="shared" si="24"/>
        <v>0</v>
      </c>
      <c r="H45" s="83">
        <f t="shared" si="25"/>
        <v>7316.810530000001</v>
      </c>
      <c r="I45" s="84">
        <f>J45</f>
        <v>0</v>
      </c>
      <c r="J45" s="84">
        <f t="shared" si="26"/>
        <v>0</v>
      </c>
      <c r="K45" s="72">
        <v>0</v>
      </c>
      <c r="L45" s="72">
        <v>0</v>
      </c>
      <c r="M45" s="72">
        <v>0</v>
      </c>
      <c r="N45" s="81">
        <f t="shared" si="27"/>
        <v>7316.810530000001</v>
      </c>
      <c r="O45" s="82">
        <v>0</v>
      </c>
      <c r="P45" s="82">
        <v>0</v>
      </c>
      <c r="Q45" s="82">
        <v>0</v>
      </c>
      <c r="R45" s="81">
        <f t="shared" si="28"/>
        <v>7316.810530000001</v>
      </c>
      <c r="S45" s="72">
        <v>0</v>
      </c>
      <c r="T45" s="72">
        <v>6950.97</v>
      </c>
      <c r="U45" s="72">
        <f>365.841-0.00047</f>
        <v>365.84053</v>
      </c>
      <c r="V45" s="81">
        <f aca="true" t="shared" si="30" ref="V45:V51">W45+X45+Y45</f>
        <v>0</v>
      </c>
      <c r="W45" s="72">
        <v>0</v>
      </c>
      <c r="X45" s="72">
        <v>0</v>
      </c>
      <c r="Y45" s="72">
        <v>0</v>
      </c>
      <c r="Z45" s="81">
        <f aca="true" t="shared" si="31" ref="Z45:Z51">AA45+AB45+AC45</f>
        <v>0</v>
      </c>
      <c r="AA45" s="72">
        <v>0</v>
      </c>
      <c r="AB45" s="72">
        <v>0</v>
      </c>
      <c r="AC45" s="72">
        <v>0</v>
      </c>
    </row>
    <row r="46" spans="1:29" s="73" customFormat="1" ht="52.5" customHeight="1">
      <c r="A46" s="27"/>
      <c r="B46" s="114" t="s">
        <v>151</v>
      </c>
      <c r="C46" s="86" t="s">
        <v>23</v>
      </c>
      <c r="D46" s="81">
        <f t="shared" si="23"/>
        <v>895.03684</v>
      </c>
      <c r="E46" s="94">
        <v>0</v>
      </c>
      <c r="F46" s="83">
        <f>X46</f>
        <v>0</v>
      </c>
      <c r="G46" s="83">
        <f t="shared" si="24"/>
        <v>0</v>
      </c>
      <c r="H46" s="83">
        <f t="shared" si="25"/>
        <v>895.03684</v>
      </c>
      <c r="I46" s="84">
        <f>J46</f>
        <v>0</v>
      </c>
      <c r="J46" s="84">
        <f t="shared" si="26"/>
        <v>0</v>
      </c>
      <c r="K46" s="72">
        <v>0</v>
      </c>
      <c r="L46" s="72">
        <v>0</v>
      </c>
      <c r="M46" s="72">
        <v>0</v>
      </c>
      <c r="N46" s="81">
        <f t="shared" si="27"/>
        <v>895.03684</v>
      </c>
      <c r="O46" s="82">
        <v>0</v>
      </c>
      <c r="P46" s="82">
        <v>0</v>
      </c>
      <c r="Q46" s="82">
        <v>0</v>
      </c>
      <c r="R46" s="81">
        <f t="shared" si="28"/>
        <v>895.03684</v>
      </c>
      <c r="S46" s="72">
        <v>0</v>
      </c>
      <c r="T46" s="148">
        <v>850.285</v>
      </c>
      <c r="U46" s="148">
        <v>44.75184</v>
      </c>
      <c r="V46" s="81">
        <f t="shared" si="30"/>
        <v>0</v>
      </c>
      <c r="W46" s="72">
        <v>0</v>
      </c>
      <c r="X46" s="72">
        <v>0</v>
      </c>
      <c r="Y46" s="72">
        <v>0</v>
      </c>
      <c r="Z46" s="81">
        <f t="shared" si="31"/>
        <v>0</v>
      </c>
      <c r="AA46" s="72">
        <v>0</v>
      </c>
      <c r="AB46" s="72">
        <v>0</v>
      </c>
      <c r="AC46" s="72">
        <v>0</v>
      </c>
    </row>
    <row r="47" spans="1:29" s="73" customFormat="1" ht="39.75" customHeight="1">
      <c r="A47" s="27" t="s">
        <v>107</v>
      </c>
      <c r="B47" s="113" t="s">
        <v>122</v>
      </c>
      <c r="C47" s="86" t="s">
        <v>23</v>
      </c>
      <c r="D47" s="81">
        <f t="shared" si="23"/>
        <v>100</v>
      </c>
      <c r="E47" s="94">
        <v>0</v>
      </c>
      <c r="F47" s="94">
        <v>0</v>
      </c>
      <c r="G47" s="94">
        <f>Y47+AC47</f>
        <v>0</v>
      </c>
      <c r="H47" s="83">
        <f t="shared" si="25"/>
        <v>100</v>
      </c>
      <c r="I47" s="84">
        <f>K47+L47+M47</f>
        <v>0</v>
      </c>
      <c r="J47" s="84">
        <f t="shared" si="26"/>
        <v>0</v>
      </c>
      <c r="K47" s="72">
        <v>0</v>
      </c>
      <c r="L47" s="72">
        <v>0</v>
      </c>
      <c r="M47" s="72">
        <v>0</v>
      </c>
      <c r="N47" s="81">
        <f t="shared" si="27"/>
        <v>100</v>
      </c>
      <c r="O47" s="82">
        <v>0</v>
      </c>
      <c r="P47" s="82">
        <v>0</v>
      </c>
      <c r="Q47" s="82">
        <v>0</v>
      </c>
      <c r="R47" s="81">
        <f t="shared" si="28"/>
        <v>100</v>
      </c>
      <c r="S47" s="82">
        <v>0</v>
      </c>
      <c r="T47" s="82">
        <v>0</v>
      </c>
      <c r="U47" s="89">
        <v>100</v>
      </c>
      <c r="V47" s="81">
        <f t="shared" si="30"/>
        <v>0</v>
      </c>
      <c r="W47" s="82">
        <v>0</v>
      </c>
      <c r="X47" s="82">
        <v>0</v>
      </c>
      <c r="Y47" s="82">
        <v>0</v>
      </c>
      <c r="Z47" s="81">
        <f t="shared" si="31"/>
        <v>0</v>
      </c>
      <c r="AA47" s="82">
        <v>0</v>
      </c>
      <c r="AB47" s="82">
        <v>0</v>
      </c>
      <c r="AC47" s="82">
        <v>0</v>
      </c>
    </row>
    <row r="48" spans="1:29" s="73" customFormat="1" ht="39.75" customHeight="1">
      <c r="A48" s="27" t="s">
        <v>126</v>
      </c>
      <c r="B48" s="114" t="s">
        <v>135</v>
      </c>
      <c r="C48" s="86" t="s">
        <v>23</v>
      </c>
      <c r="D48" s="81">
        <f t="shared" si="23"/>
        <v>50</v>
      </c>
      <c r="E48" s="94">
        <v>0</v>
      </c>
      <c r="F48" s="94">
        <v>0</v>
      </c>
      <c r="G48" s="94">
        <f>Y48+AC48</f>
        <v>0</v>
      </c>
      <c r="H48" s="83">
        <f t="shared" si="25"/>
        <v>50</v>
      </c>
      <c r="I48" s="84">
        <f>K48+L48+M48</f>
        <v>0</v>
      </c>
      <c r="J48" s="84">
        <f t="shared" si="26"/>
        <v>0</v>
      </c>
      <c r="K48" s="72">
        <v>0</v>
      </c>
      <c r="L48" s="72">
        <v>0</v>
      </c>
      <c r="M48" s="72">
        <v>0</v>
      </c>
      <c r="N48" s="81">
        <f>S48+T48+U48</f>
        <v>50</v>
      </c>
      <c r="O48" s="82">
        <v>0</v>
      </c>
      <c r="P48" s="82">
        <v>0</v>
      </c>
      <c r="Q48" s="82">
        <v>0</v>
      </c>
      <c r="R48" s="81">
        <f t="shared" si="28"/>
        <v>50</v>
      </c>
      <c r="S48" s="82">
        <v>0</v>
      </c>
      <c r="T48" s="82">
        <v>0</v>
      </c>
      <c r="U48" s="89">
        <v>50</v>
      </c>
      <c r="V48" s="81">
        <f t="shared" si="30"/>
        <v>0</v>
      </c>
      <c r="W48" s="82">
        <v>0</v>
      </c>
      <c r="X48" s="82">
        <v>0</v>
      </c>
      <c r="Y48" s="82">
        <v>0</v>
      </c>
      <c r="Z48" s="81">
        <f t="shared" si="31"/>
        <v>0</v>
      </c>
      <c r="AA48" s="82">
        <v>0</v>
      </c>
      <c r="AB48" s="82">
        <v>0</v>
      </c>
      <c r="AC48" s="82">
        <v>0</v>
      </c>
    </row>
    <row r="49" spans="1:29" s="73" customFormat="1" ht="39.75" customHeight="1">
      <c r="A49" s="27" t="s">
        <v>127</v>
      </c>
      <c r="B49" s="113" t="s">
        <v>130</v>
      </c>
      <c r="C49" s="86" t="s">
        <v>23</v>
      </c>
      <c r="D49" s="81">
        <f t="shared" si="23"/>
        <v>10</v>
      </c>
      <c r="E49" s="94">
        <v>0</v>
      </c>
      <c r="F49" s="94">
        <v>0</v>
      </c>
      <c r="G49" s="94">
        <f>Y49+AC49</f>
        <v>0</v>
      </c>
      <c r="H49" s="83">
        <f t="shared" si="25"/>
        <v>10</v>
      </c>
      <c r="I49" s="84">
        <f>K49+L49+M49</f>
        <v>0</v>
      </c>
      <c r="J49" s="84">
        <f t="shared" si="26"/>
        <v>0</v>
      </c>
      <c r="K49" s="72">
        <v>0</v>
      </c>
      <c r="L49" s="72">
        <v>0</v>
      </c>
      <c r="M49" s="72">
        <v>0</v>
      </c>
      <c r="N49" s="81">
        <f>S49+T49+U49</f>
        <v>10</v>
      </c>
      <c r="O49" s="82">
        <v>0</v>
      </c>
      <c r="P49" s="82">
        <v>0</v>
      </c>
      <c r="Q49" s="82">
        <v>0</v>
      </c>
      <c r="R49" s="81">
        <f t="shared" si="28"/>
        <v>10</v>
      </c>
      <c r="S49" s="82">
        <v>0</v>
      </c>
      <c r="T49" s="82">
        <v>0</v>
      </c>
      <c r="U49" s="89">
        <f>20-10</f>
        <v>10</v>
      </c>
      <c r="V49" s="81">
        <f t="shared" si="30"/>
        <v>0</v>
      </c>
      <c r="W49" s="82">
        <v>0</v>
      </c>
      <c r="X49" s="82">
        <v>0</v>
      </c>
      <c r="Y49" s="82">
        <v>0</v>
      </c>
      <c r="Z49" s="81">
        <f t="shared" si="31"/>
        <v>0</v>
      </c>
      <c r="AA49" s="82">
        <v>0</v>
      </c>
      <c r="AB49" s="82">
        <v>0</v>
      </c>
      <c r="AC49" s="82">
        <v>0</v>
      </c>
    </row>
    <row r="50" spans="1:29" s="73" customFormat="1" ht="39.75" customHeight="1">
      <c r="A50" s="27" t="s">
        <v>128</v>
      </c>
      <c r="B50" s="113" t="s">
        <v>131</v>
      </c>
      <c r="C50" s="86" t="s">
        <v>23</v>
      </c>
      <c r="D50" s="81">
        <f t="shared" si="23"/>
        <v>20</v>
      </c>
      <c r="E50" s="94">
        <v>0</v>
      </c>
      <c r="F50" s="94">
        <v>0</v>
      </c>
      <c r="G50" s="94">
        <f>Y50+AC50</f>
        <v>0</v>
      </c>
      <c r="H50" s="83">
        <f t="shared" si="25"/>
        <v>20</v>
      </c>
      <c r="I50" s="84">
        <f>K50+L50+M50</f>
        <v>0</v>
      </c>
      <c r="J50" s="84">
        <f t="shared" si="26"/>
        <v>0</v>
      </c>
      <c r="K50" s="72">
        <v>0</v>
      </c>
      <c r="L50" s="72">
        <v>0</v>
      </c>
      <c r="M50" s="72">
        <v>0</v>
      </c>
      <c r="N50" s="81">
        <f>S50+T50+U50</f>
        <v>20</v>
      </c>
      <c r="O50" s="82">
        <v>0</v>
      </c>
      <c r="P50" s="82">
        <v>0</v>
      </c>
      <c r="Q50" s="82">
        <v>0</v>
      </c>
      <c r="R50" s="81">
        <f t="shared" si="28"/>
        <v>20</v>
      </c>
      <c r="S50" s="82">
        <v>0</v>
      </c>
      <c r="T50" s="82">
        <v>0</v>
      </c>
      <c r="U50" s="89">
        <v>20</v>
      </c>
      <c r="V50" s="81">
        <f t="shared" si="30"/>
        <v>0</v>
      </c>
      <c r="W50" s="82">
        <v>0</v>
      </c>
      <c r="X50" s="82">
        <v>0</v>
      </c>
      <c r="Y50" s="82">
        <v>0</v>
      </c>
      <c r="Z50" s="81">
        <f t="shared" si="31"/>
        <v>0</v>
      </c>
      <c r="AA50" s="82">
        <v>0</v>
      </c>
      <c r="AB50" s="82">
        <v>0</v>
      </c>
      <c r="AC50" s="82">
        <v>0</v>
      </c>
    </row>
    <row r="51" spans="1:29" s="73" customFormat="1" ht="39.75" customHeight="1">
      <c r="A51" s="27" t="s">
        <v>129</v>
      </c>
      <c r="B51" s="113" t="s">
        <v>132</v>
      </c>
      <c r="C51" s="86" t="s">
        <v>23</v>
      </c>
      <c r="D51" s="81">
        <f t="shared" si="23"/>
        <v>110</v>
      </c>
      <c r="E51" s="94">
        <v>0</v>
      </c>
      <c r="F51" s="94">
        <v>0</v>
      </c>
      <c r="G51" s="94">
        <f>Y51+AC51</f>
        <v>0</v>
      </c>
      <c r="H51" s="83">
        <f t="shared" si="25"/>
        <v>110</v>
      </c>
      <c r="I51" s="84">
        <f>K51+L51+M51</f>
        <v>0</v>
      </c>
      <c r="J51" s="84">
        <f t="shared" si="26"/>
        <v>0</v>
      </c>
      <c r="K51" s="72">
        <v>0</v>
      </c>
      <c r="L51" s="72">
        <v>0</v>
      </c>
      <c r="M51" s="72">
        <v>0</v>
      </c>
      <c r="N51" s="81">
        <f>S51+T51+U51</f>
        <v>110</v>
      </c>
      <c r="O51" s="82">
        <v>0</v>
      </c>
      <c r="P51" s="82">
        <v>0</v>
      </c>
      <c r="Q51" s="82">
        <v>0</v>
      </c>
      <c r="R51" s="81">
        <f t="shared" si="28"/>
        <v>110</v>
      </c>
      <c r="S51" s="82">
        <v>0</v>
      </c>
      <c r="T51" s="82">
        <v>0</v>
      </c>
      <c r="U51" s="89">
        <v>110</v>
      </c>
      <c r="V51" s="81">
        <f t="shared" si="30"/>
        <v>0</v>
      </c>
      <c r="W51" s="82">
        <v>0</v>
      </c>
      <c r="X51" s="82">
        <v>0</v>
      </c>
      <c r="Y51" s="82">
        <v>0</v>
      </c>
      <c r="Z51" s="81">
        <f t="shared" si="31"/>
        <v>0</v>
      </c>
      <c r="AA51" s="82">
        <v>0</v>
      </c>
      <c r="AB51" s="82">
        <v>0</v>
      </c>
      <c r="AC51" s="82">
        <v>0</v>
      </c>
    </row>
    <row r="52" spans="1:64" ht="73.5" customHeight="1">
      <c r="A52" s="24"/>
      <c r="B52" s="98" t="s">
        <v>113</v>
      </c>
      <c r="C52" s="25"/>
      <c r="D52" s="76">
        <f>D53</f>
        <v>4518.8</v>
      </c>
      <c r="E52" s="76">
        <f aca="true" t="shared" si="32" ref="E52:AC52">E53</f>
        <v>0</v>
      </c>
      <c r="F52" s="76">
        <f t="shared" si="32"/>
        <v>1417.1999999999998</v>
      </c>
      <c r="G52" s="76">
        <f>G53</f>
        <v>3101.6</v>
      </c>
      <c r="H52" s="76">
        <f>H53</f>
        <v>0</v>
      </c>
      <c r="I52" s="76">
        <f t="shared" si="32"/>
        <v>0</v>
      </c>
      <c r="J52" s="76">
        <f t="shared" si="7"/>
        <v>0</v>
      </c>
      <c r="K52" s="76">
        <f t="shared" si="32"/>
        <v>0</v>
      </c>
      <c r="L52" s="76">
        <f t="shared" si="32"/>
        <v>0</v>
      </c>
      <c r="M52" s="76">
        <f t="shared" si="32"/>
        <v>0</v>
      </c>
      <c r="N52" s="76">
        <f t="shared" si="32"/>
        <v>1450.3999999999999</v>
      </c>
      <c r="O52" s="76">
        <f t="shared" si="32"/>
        <v>0</v>
      </c>
      <c r="P52" s="76">
        <f t="shared" si="32"/>
        <v>472.4</v>
      </c>
      <c r="Q52" s="76">
        <f t="shared" si="32"/>
        <v>978</v>
      </c>
      <c r="R52" s="76">
        <f t="shared" si="32"/>
        <v>0</v>
      </c>
      <c r="S52" s="76">
        <f t="shared" si="32"/>
        <v>0</v>
      </c>
      <c r="T52" s="76">
        <f t="shared" si="32"/>
        <v>0</v>
      </c>
      <c r="U52" s="76">
        <f t="shared" si="32"/>
        <v>0</v>
      </c>
      <c r="V52" s="76">
        <f t="shared" si="32"/>
        <v>1500</v>
      </c>
      <c r="W52" s="76">
        <f t="shared" si="32"/>
        <v>0</v>
      </c>
      <c r="X52" s="76">
        <f t="shared" si="32"/>
        <v>472.4</v>
      </c>
      <c r="Y52" s="76">
        <f t="shared" si="32"/>
        <v>1027.6</v>
      </c>
      <c r="Z52" s="76">
        <f t="shared" si="32"/>
        <v>1568.4</v>
      </c>
      <c r="AA52" s="76">
        <f t="shared" si="32"/>
        <v>0</v>
      </c>
      <c r="AB52" s="76">
        <f t="shared" si="32"/>
        <v>472.4</v>
      </c>
      <c r="AC52" s="76">
        <f t="shared" si="32"/>
        <v>1096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s="8" customFormat="1" ht="82.5" customHeight="1">
      <c r="A53" s="26" t="s">
        <v>81</v>
      </c>
      <c r="B53" s="102" t="s">
        <v>80</v>
      </c>
      <c r="C53" s="87"/>
      <c r="D53" s="88">
        <f>D54+D58+D59+D60</f>
        <v>4518.8</v>
      </c>
      <c r="E53" s="88">
        <f aca="true" t="shared" si="33" ref="E53:M53">E54+E58+E59</f>
        <v>0</v>
      </c>
      <c r="F53" s="88">
        <f>F54+F58+F59+F60</f>
        <v>1417.1999999999998</v>
      </c>
      <c r="G53" s="88">
        <f>G54+G58+G59+G60</f>
        <v>3101.6</v>
      </c>
      <c r="H53" s="88">
        <f>H54+H58+H59+H60</f>
        <v>0</v>
      </c>
      <c r="I53" s="88">
        <f t="shared" si="33"/>
        <v>0</v>
      </c>
      <c r="J53" s="79">
        <f t="shared" si="7"/>
        <v>0</v>
      </c>
      <c r="K53" s="88">
        <f t="shared" si="33"/>
        <v>0</v>
      </c>
      <c r="L53" s="88">
        <f t="shared" si="33"/>
        <v>0</v>
      </c>
      <c r="M53" s="88">
        <f t="shared" si="33"/>
        <v>0</v>
      </c>
      <c r="N53" s="88">
        <f aca="true" t="shared" si="34" ref="N53:AC53">N54+N58+N59+N60</f>
        <v>1450.3999999999999</v>
      </c>
      <c r="O53" s="88">
        <f t="shared" si="34"/>
        <v>0</v>
      </c>
      <c r="P53" s="88">
        <f t="shared" si="34"/>
        <v>472.4</v>
      </c>
      <c r="Q53" s="88">
        <f t="shared" si="34"/>
        <v>978</v>
      </c>
      <c r="R53" s="88">
        <f t="shared" si="34"/>
        <v>0</v>
      </c>
      <c r="S53" s="88">
        <f t="shared" si="34"/>
        <v>0</v>
      </c>
      <c r="T53" s="88">
        <f t="shared" si="34"/>
        <v>0</v>
      </c>
      <c r="U53" s="88">
        <f t="shared" si="34"/>
        <v>0</v>
      </c>
      <c r="V53" s="88">
        <f t="shared" si="34"/>
        <v>1500</v>
      </c>
      <c r="W53" s="88">
        <f t="shared" si="34"/>
        <v>0</v>
      </c>
      <c r="X53" s="88">
        <f t="shared" si="34"/>
        <v>472.4</v>
      </c>
      <c r="Y53" s="88">
        <f t="shared" si="34"/>
        <v>1027.6</v>
      </c>
      <c r="Z53" s="88">
        <f t="shared" si="34"/>
        <v>1568.4</v>
      </c>
      <c r="AA53" s="88">
        <f t="shared" si="34"/>
        <v>0</v>
      </c>
      <c r="AB53" s="88">
        <f t="shared" si="34"/>
        <v>472.4</v>
      </c>
      <c r="AC53" s="88">
        <f t="shared" si="34"/>
        <v>1096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29" s="12" customFormat="1" ht="75.75" customHeight="1">
      <c r="A54" s="27" t="s">
        <v>82</v>
      </c>
      <c r="B54" s="101" t="s">
        <v>85</v>
      </c>
      <c r="C54" s="86" t="s">
        <v>23</v>
      </c>
      <c r="D54" s="81">
        <f aca="true" t="shared" si="35" ref="D54:D59">E54+F54+G54</f>
        <v>4443.30858</v>
      </c>
      <c r="E54" s="82">
        <f aca="true" t="shared" si="36" ref="E54:E59">K54+S54+W54</f>
        <v>0</v>
      </c>
      <c r="F54" s="83">
        <f aca="true" t="shared" si="37" ref="F54:G59">L54+P54+X54+AB54</f>
        <v>1417.1999999999998</v>
      </c>
      <c r="G54" s="83">
        <f t="shared" si="37"/>
        <v>3026.10858</v>
      </c>
      <c r="H54" s="83">
        <f aca="true" t="shared" si="38" ref="H54:H59">J54+R54</f>
        <v>0</v>
      </c>
      <c r="I54" s="84">
        <f aca="true" t="shared" si="39" ref="I54:I59">K54+L54+M54</f>
        <v>0</v>
      </c>
      <c r="J54" s="84">
        <f t="shared" si="7"/>
        <v>0</v>
      </c>
      <c r="K54" s="85">
        <v>0</v>
      </c>
      <c r="L54" s="85">
        <v>0</v>
      </c>
      <c r="M54" s="89">
        <v>0</v>
      </c>
      <c r="N54" s="81">
        <f aca="true" t="shared" si="40" ref="N54:N59">SUM(O54:R54)</f>
        <v>1374.9085799999998</v>
      </c>
      <c r="O54" s="82">
        <v>0</v>
      </c>
      <c r="P54" s="82">
        <v>472.4</v>
      </c>
      <c r="Q54" s="82">
        <f>388.85+24.9+564.25-75.49142</f>
        <v>902.5085799999999</v>
      </c>
      <c r="R54" s="81">
        <f aca="true" t="shared" si="41" ref="R54:R59">SUM(S54:U54)</f>
        <v>0</v>
      </c>
      <c r="S54" s="82">
        <v>0</v>
      </c>
      <c r="T54" s="82">
        <v>0</v>
      </c>
      <c r="U54" s="82">
        <v>0</v>
      </c>
      <c r="V54" s="81">
        <f aca="true" t="shared" si="42" ref="V54:V59">W54+X54+Y54</f>
        <v>1500</v>
      </c>
      <c r="W54" s="82">
        <v>0</v>
      </c>
      <c r="X54" s="82">
        <v>472.4</v>
      </c>
      <c r="Y54" s="82">
        <f>425.95+24.9+576.75</f>
        <v>1027.6</v>
      </c>
      <c r="Z54" s="81">
        <f aca="true" t="shared" si="43" ref="Z54:Z59">AA54+AB54+AC54</f>
        <v>1568.4</v>
      </c>
      <c r="AA54" s="82">
        <v>0</v>
      </c>
      <c r="AB54" s="82">
        <v>472.4</v>
      </c>
      <c r="AC54" s="82">
        <v>1096</v>
      </c>
    </row>
    <row r="55" spans="1:29" s="12" customFormat="1" ht="31.5" customHeight="1">
      <c r="A55" s="27"/>
      <c r="B55" s="106" t="s">
        <v>61</v>
      </c>
      <c r="C55" s="86" t="s">
        <v>23</v>
      </c>
      <c r="D55" s="81">
        <f t="shared" si="35"/>
        <v>1382.85</v>
      </c>
      <c r="E55" s="82">
        <f t="shared" si="36"/>
        <v>0</v>
      </c>
      <c r="F55" s="83">
        <f t="shared" si="37"/>
        <v>1313.6999999999998</v>
      </c>
      <c r="G55" s="83">
        <f t="shared" si="37"/>
        <v>69.15</v>
      </c>
      <c r="H55" s="83">
        <f t="shared" si="38"/>
        <v>0</v>
      </c>
      <c r="I55" s="84">
        <f t="shared" si="39"/>
        <v>0</v>
      </c>
      <c r="J55" s="84">
        <f t="shared" si="7"/>
        <v>0</v>
      </c>
      <c r="K55" s="85">
        <v>0</v>
      </c>
      <c r="L55" s="85">
        <v>0</v>
      </c>
      <c r="M55" s="85">
        <v>0</v>
      </c>
      <c r="N55" s="81">
        <f t="shared" si="40"/>
        <v>460.95</v>
      </c>
      <c r="O55" s="82">
        <v>0</v>
      </c>
      <c r="P55" s="85">
        <v>437.9</v>
      </c>
      <c r="Q55" s="85">
        <v>23.05</v>
      </c>
      <c r="R55" s="81">
        <f t="shared" si="41"/>
        <v>0</v>
      </c>
      <c r="S55" s="82">
        <v>0</v>
      </c>
      <c r="T55" s="85">
        <v>0</v>
      </c>
      <c r="U55" s="85">
        <v>0</v>
      </c>
      <c r="V55" s="81">
        <f t="shared" si="42"/>
        <v>460.95</v>
      </c>
      <c r="W55" s="82">
        <v>0</v>
      </c>
      <c r="X55" s="85">
        <v>437.9</v>
      </c>
      <c r="Y55" s="85">
        <v>23.05</v>
      </c>
      <c r="Z55" s="81">
        <f t="shared" si="43"/>
        <v>460.95</v>
      </c>
      <c r="AA55" s="82">
        <v>0</v>
      </c>
      <c r="AB55" s="85">
        <v>437.9</v>
      </c>
      <c r="AC55" s="85">
        <v>23.05</v>
      </c>
    </row>
    <row r="56" spans="1:29" s="12" customFormat="1" ht="32.25" customHeight="1">
      <c r="A56" s="27"/>
      <c r="B56" s="106" t="s">
        <v>62</v>
      </c>
      <c r="C56" s="86" t="s">
        <v>23</v>
      </c>
      <c r="D56" s="81">
        <f t="shared" si="35"/>
        <v>109.05</v>
      </c>
      <c r="E56" s="82">
        <f t="shared" si="36"/>
        <v>0</v>
      </c>
      <c r="F56" s="83">
        <f t="shared" si="37"/>
        <v>103.5</v>
      </c>
      <c r="G56" s="83">
        <f t="shared" si="37"/>
        <v>5.550000000000001</v>
      </c>
      <c r="H56" s="83">
        <f t="shared" si="38"/>
        <v>0</v>
      </c>
      <c r="I56" s="84">
        <f t="shared" si="39"/>
        <v>0</v>
      </c>
      <c r="J56" s="84">
        <f t="shared" si="7"/>
        <v>0</v>
      </c>
      <c r="K56" s="85">
        <v>0</v>
      </c>
      <c r="L56" s="85">
        <v>0</v>
      </c>
      <c r="M56" s="85">
        <v>0</v>
      </c>
      <c r="N56" s="81">
        <f t="shared" si="40"/>
        <v>36.35</v>
      </c>
      <c r="O56" s="82">
        <v>0</v>
      </c>
      <c r="P56" s="82">
        <v>34.5</v>
      </c>
      <c r="Q56" s="82">
        <v>1.85</v>
      </c>
      <c r="R56" s="81">
        <f t="shared" si="41"/>
        <v>0</v>
      </c>
      <c r="S56" s="82">
        <v>0</v>
      </c>
      <c r="T56" s="82">
        <v>0</v>
      </c>
      <c r="U56" s="82">
        <v>0</v>
      </c>
      <c r="V56" s="81">
        <f t="shared" si="42"/>
        <v>36.35</v>
      </c>
      <c r="W56" s="82">
        <v>0</v>
      </c>
      <c r="X56" s="82">
        <v>34.5</v>
      </c>
      <c r="Y56" s="82">
        <v>1.85</v>
      </c>
      <c r="Z56" s="81">
        <f t="shared" si="43"/>
        <v>36.35</v>
      </c>
      <c r="AA56" s="82">
        <v>0</v>
      </c>
      <c r="AB56" s="82">
        <v>34.5</v>
      </c>
      <c r="AC56" s="82">
        <v>1.85</v>
      </c>
    </row>
    <row r="57" spans="1:29" s="12" customFormat="1" ht="32.25" customHeight="1">
      <c r="A57" s="27"/>
      <c r="B57" s="106" t="s">
        <v>63</v>
      </c>
      <c r="C57" s="86" t="s">
        <v>23</v>
      </c>
      <c r="D57" s="81">
        <f t="shared" si="35"/>
        <v>0</v>
      </c>
      <c r="E57" s="82">
        <f t="shared" si="36"/>
        <v>0</v>
      </c>
      <c r="F57" s="83">
        <f t="shared" si="37"/>
        <v>0</v>
      </c>
      <c r="G57" s="83">
        <f t="shared" si="37"/>
        <v>0</v>
      </c>
      <c r="H57" s="83">
        <f t="shared" si="38"/>
        <v>0</v>
      </c>
      <c r="I57" s="84">
        <f t="shared" si="39"/>
        <v>0</v>
      </c>
      <c r="J57" s="84">
        <f t="shared" si="7"/>
        <v>0</v>
      </c>
      <c r="K57" s="85">
        <v>0</v>
      </c>
      <c r="L57" s="85">
        <v>0</v>
      </c>
      <c r="M57" s="85">
        <v>0</v>
      </c>
      <c r="N57" s="81">
        <f t="shared" si="40"/>
        <v>0</v>
      </c>
      <c r="O57" s="82">
        <v>0</v>
      </c>
      <c r="P57" s="82">
        <v>0</v>
      </c>
      <c r="Q57" s="82">
        <v>0</v>
      </c>
      <c r="R57" s="81">
        <f t="shared" si="41"/>
        <v>0</v>
      </c>
      <c r="S57" s="82">
        <v>0</v>
      </c>
      <c r="T57" s="82">
        <v>0</v>
      </c>
      <c r="U57" s="82">
        <v>0</v>
      </c>
      <c r="V57" s="81">
        <f t="shared" si="42"/>
        <v>0</v>
      </c>
      <c r="W57" s="82">
        <v>0</v>
      </c>
      <c r="X57" s="82">
        <v>0</v>
      </c>
      <c r="Y57" s="82">
        <v>0</v>
      </c>
      <c r="Z57" s="81">
        <f t="shared" si="43"/>
        <v>0</v>
      </c>
      <c r="AA57" s="82">
        <v>0</v>
      </c>
      <c r="AB57" s="82">
        <v>0</v>
      </c>
      <c r="AC57" s="82">
        <v>0</v>
      </c>
    </row>
    <row r="58" spans="1:29" s="12" customFormat="1" ht="60" customHeight="1">
      <c r="A58" s="27" t="s">
        <v>83</v>
      </c>
      <c r="B58" s="107" t="s">
        <v>48</v>
      </c>
      <c r="C58" s="86" t="s">
        <v>23</v>
      </c>
      <c r="D58" s="81">
        <f t="shared" si="35"/>
        <v>0</v>
      </c>
      <c r="E58" s="82">
        <f t="shared" si="36"/>
        <v>0</v>
      </c>
      <c r="F58" s="83">
        <f t="shared" si="37"/>
        <v>0</v>
      </c>
      <c r="G58" s="83">
        <f t="shared" si="37"/>
        <v>0</v>
      </c>
      <c r="H58" s="83">
        <f t="shared" si="38"/>
        <v>0</v>
      </c>
      <c r="I58" s="84">
        <f t="shared" si="39"/>
        <v>0</v>
      </c>
      <c r="J58" s="84">
        <f t="shared" si="7"/>
        <v>0</v>
      </c>
      <c r="K58" s="85">
        <v>0</v>
      </c>
      <c r="L58" s="85">
        <v>0</v>
      </c>
      <c r="M58" s="85">
        <v>0</v>
      </c>
      <c r="N58" s="81">
        <f t="shared" si="40"/>
        <v>0</v>
      </c>
      <c r="O58" s="82">
        <v>0</v>
      </c>
      <c r="P58" s="82">
        <v>0</v>
      </c>
      <c r="Q58" s="82">
        <v>0</v>
      </c>
      <c r="R58" s="81">
        <f t="shared" si="41"/>
        <v>0</v>
      </c>
      <c r="S58" s="82">
        <v>0</v>
      </c>
      <c r="T58" s="82">
        <v>0</v>
      </c>
      <c r="U58" s="82">
        <v>0</v>
      </c>
      <c r="V58" s="81">
        <f t="shared" si="42"/>
        <v>0</v>
      </c>
      <c r="W58" s="82">
        <v>0</v>
      </c>
      <c r="X58" s="82">
        <v>0</v>
      </c>
      <c r="Y58" s="82">
        <v>0</v>
      </c>
      <c r="Z58" s="81">
        <f t="shared" si="43"/>
        <v>0</v>
      </c>
      <c r="AA58" s="82">
        <v>0</v>
      </c>
      <c r="AB58" s="82">
        <v>0</v>
      </c>
      <c r="AC58" s="82">
        <v>0</v>
      </c>
    </row>
    <row r="59" spans="1:64" ht="31.5" customHeight="1">
      <c r="A59" s="27" t="s">
        <v>84</v>
      </c>
      <c r="B59" s="101" t="s">
        <v>46</v>
      </c>
      <c r="C59" s="86" t="s">
        <v>23</v>
      </c>
      <c r="D59" s="81">
        <f t="shared" si="35"/>
        <v>0</v>
      </c>
      <c r="E59" s="82">
        <f t="shared" si="36"/>
        <v>0</v>
      </c>
      <c r="F59" s="83">
        <f t="shared" si="37"/>
        <v>0</v>
      </c>
      <c r="G59" s="83">
        <f t="shared" si="37"/>
        <v>0</v>
      </c>
      <c r="H59" s="83">
        <f t="shared" si="38"/>
        <v>0</v>
      </c>
      <c r="I59" s="84">
        <f t="shared" si="39"/>
        <v>0</v>
      </c>
      <c r="J59" s="84">
        <f t="shared" si="7"/>
        <v>0</v>
      </c>
      <c r="K59" s="85">
        <v>0</v>
      </c>
      <c r="L59" s="85">
        <v>0</v>
      </c>
      <c r="M59" s="85">
        <v>0</v>
      </c>
      <c r="N59" s="81">
        <f t="shared" si="40"/>
        <v>0</v>
      </c>
      <c r="O59" s="82">
        <v>0</v>
      </c>
      <c r="P59" s="82">
        <v>0</v>
      </c>
      <c r="Q59" s="82">
        <v>0</v>
      </c>
      <c r="R59" s="81">
        <f t="shared" si="41"/>
        <v>0</v>
      </c>
      <c r="S59" s="82">
        <v>0</v>
      </c>
      <c r="T59" s="82">
        <v>0</v>
      </c>
      <c r="U59" s="82">
        <v>0</v>
      </c>
      <c r="V59" s="81">
        <f t="shared" si="42"/>
        <v>0</v>
      </c>
      <c r="W59" s="82">
        <v>0</v>
      </c>
      <c r="X59" s="82">
        <v>0</v>
      </c>
      <c r="Y59" s="82">
        <v>0</v>
      </c>
      <c r="Z59" s="81">
        <f t="shared" si="43"/>
        <v>0</v>
      </c>
      <c r="AA59" s="82">
        <v>0</v>
      </c>
      <c r="AB59" s="82">
        <v>0</v>
      </c>
      <c r="AC59" s="82">
        <v>0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31.5" customHeight="1">
      <c r="A60" s="27" t="s">
        <v>123</v>
      </c>
      <c r="B60" s="116" t="s">
        <v>157</v>
      </c>
      <c r="C60" s="86" t="s">
        <v>23</v>
      </c>
      <c r="D60" s="81">
        <f>E60+F60+G60</f>
        <v>75.49142</v>
      </c>
      <c r="E60" s="82">
        <f>K60+S60+W60</f>
        <v>0</v>
      </c>
      <c r="F60" s="83">
        <f>L60+P60+X60+AB60</f>
        <v>0</v>
      </c>
      <c r="G60" s="83">
        <f>M60+Q60+Y60+AC60</f>
        <v>75.49142</v>
      </c>
      <c r="H60" s="83">
        <f>J60+R60</f>
        <v>0</v>
      </c>
      <c r="I60" s="84">
        <f>K60+L60+M60</f>
        <v>0</v>
      </c>
      <c r="J60" s="84">
        <f>I60</f>
        <v>0</v>
      </c>
      <c r="K60" s="85">
        <v>0</v>
      </c>
      <c r="L60" s="85">
        <v>0</v>
      </c>
      <c r="M60" s="85">
        <v>0</v>
      </c>
      <c r="N60" s="81">
        <f>SUM(O60:R60)</f>
        <v>75.49142</v>
      </c>
      <c r="O60" s="82">
        <v>0</v>
      </c>
      <c r="P60" s="82">
        <v>0</v>
      </c>
      <c r="Q60" s="82">
        <v>75.49142</v>
      </c>
      <c r="R60" s="81">
        <f>SUM(S60:U60)</f>
        <v>0</v>
      </c>
      <c r="S60" s="82">
        <v>0</v>
      </c>
      <c r="T60" s="82">
        <v>0</v>
      </c>
      <c r="U60" s="82">
        <v>0</v>
      </c>
      <c r="V60" s="81">
        <f>W60+X60+Y60</f>
        <v>0</v>
      </c>
      <c r="W60" s="82">
        <v>0</v>
      </c>
      <c r="X60" s="82">
        <v>0</v>
      </c>
      <c r="Y60" s="82">
        <v>0</v>
      </c>
      <c r="Z60" s="81">
        <f>AA60+AB60+AC60</f>
        <v>0</v>
      </c>
      <c r="AA60" s="82">
        <v>0</v>
      </c>
      <c r="AB60" s="82">
        <v>0</v>
      </c>
      <c r="AC60" s="82">
        <v>0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71.25" customHeight="1">
      <c r="A61" s="24"/>
      <c r="B61" s="98" t="s">
        <v>114</v>
      </c>
      <c r="C61" s="25"/>
      <c r="D61" s="76">
        <f>D62</f>
        <v>4992.799999999999</v>
      </c>
      <c r="E61" s="76">
        <f aca="true" t="shared" si="44" ref="E61:AC61">E62</f>
        <v>0</v>
      </c>
      <c r="F61" s="76">
        <f t="shared" si="44"/>
        <v>1417.1999999999998</v>
      </c>
      <c r="G61" s="76">
        <f t="shared" si="44"/>
        <v>3575.6</v>
      </c>
      <c r="H61" s="76">
        <f t="shared" si="44"/>
        <v>0</v>
      </c>
      <c r="I61" s="76">
        <f t="shared" si="44"/>
        <v>0</v>
      </c>
      <c r="J61" s="76">
        <f t="shared" si="7"/>
        <v>0</v>
      </c>
      <c r="K61" s="76">
        <f t="shared" si="44"/>
        <v>0</v>
      </c>
      <c r="L61" s="76">
        <f t="shared" si="44"/>
        <v>0</v>
      </c>
      <c r="M61" s="76">
        <f t="shared" si="44"/>
        <v>0</v>
      </c>
      <c r="N61" s="76">
        <f t="shared" si="44"/>
        <v>1614.4</v>
      </c>
      <c r="O61" s="76">
        <f t="shared" si="44"/>
        <v>0</v>
      </c>
      <c r="P61" s="76">
        <f t="shared" si="44"/>
        <v>472.4</v>
      </c>
      <c r="Q61" s="76">
        <f t="shared" si="44"/>
        <v>1142</v>
      </c>
      <c r="R61" s="76">
        <f t="shared" si="44"/>
        <v>0</v>
      </c>
      <c r="S61" s="76">
        <f t="shared" si="44"/>
        <v>0</v>
      </c>
      <c r="T61" s="76">
        <f t="shared" si="44"/>
        <v>0</v>
      </c>
      <c r="U61" s="76">
        <f t="shared" si="44"/>
        <v>0</v>
      </c>
      <c r="V61" s="76">
        <f t="shared" si="44"/>
        <v>1660</v>
      </c>
      <c r="W61" s="76">
        <f t="shared" si="44"/>
        <v>0</v>
      </c>
      <c r="X61" s="76">
        <f t="shared" si="44"/>
        <v>472.4</v>
      </c>
      <c r="Y61" s="76">
        <f t="shared" si="44"/>
        <v>1187.6</v>
      </c>
      <c r="Z61" s="76">
        <f t="shared" si="44"/>
        <v>1718.4</v>
      </c>
      <c r="AA61" s="76">
        <f t="shared" si="44"/>
        <v>0</v>
      </c>
      <c r="AB61" s="76">
        <f t="shared" si="44"/>
        <v>472.4</v>
      </c>
      <c r="AC61" s="76">
        <f t="shared" si="44"/>
        <v>1246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s="8" customFormat="1" ht="83.25" customHeight="1">
      <c r="A62" s="26" t="s">
        <v>86</v>
      </c>
      <c r="B62" s="102" t="s">
        <v>87</v>
      </c>
      <c r="C62" s="87"/>
      <c r="D62" s="88">
        <f aca="true" t="shared" si="45" ref="D62:Y62">D63+D67+D68</f>
        <v>4992.799999999999</v>
      </c>
      <c r="E62" s="88">
        <f t="shared" si="45"/>
        <v>0</v>
      </c>
      <c r="F62" s="88">
        <f t="shared" si="45"/>
        <v>1417.1999999999998</v>
      </c>
      <c r="G62" s="88">
        <f>G63+G67+G68</f>
        <v>3575.6</v>
      </c>
      <c r="H62" s="88">
        <f>H63+H67+H68</f>
        <v>0</v>
      </c>
      <c r="I62" s="88">
        <f t="shared" si="45"/>
        <v>0</v>
      </c>
      <c r="J62" s="79">
        <f t="shared" si="7"/>
        <v>0</v>
      </c>
      <c r="K62" s="88">
        <f t="shared" si="45"/>
        <v>0</v>
      </c>
      <c r="L62" s="88">
        <f t="shared" si="45"/>
        <v>0</v>
      </c>
      <c r="M62" s="88">
        <f t="shared" si="45"/>
        <v>0</v>
      </c>
      <c r="N62" s="88">
        <f t="shared" si="45"/>
        <v>1614.4</v>
      </c>
      <c r="O62" s="88">
        <f t="shared" si="45"/>
        <v>0</v>
      </c>
      <c r="P62" s="88">
        <f t="shared" si="45"/>
        <v>472.4</v>
      </c>
      <c r="Q62" s="88">
        <f t="shared" si="45"/>
        <v>1142</v>
      </c>
      <c r="R62" s="88">
        <f>R63+R67+R68</f>
        <v>0</v>
      </c>
      <c r="S62" s="88">
        <f t="shared" si="45"/>
        <v>0</v>
      </c>
      <c r="T62" s="88">
        <f>T63+T67+T68</f>
        <v>0</v>
      </c>
      <c r="U62" s="88">
        <f t="shared" si="45"/>
        <v>0</v>
      </c>
      <c r="V62" s="88">
        <f t="shared" si="45"/>
        <v>1660</v>
      </c>
      <c r="W62" s="88">
        <f t="shared" si="45"/>
        <v>0</v>
      </c>
      <c r="X62" s="88">
        <f t="shared" si="45"/>
        <v>472.4</v>
      </c>
      <c r="Y62" s="88">
        <f t="shared" si="45"/>
        <v>1187.6</v>
      </c>
      <c r="Z62" s="88">
        <f>Z63+Z67+Z68</f>
        <v>1718.4</v>
      </c>
      <c r="AA62" s="88">
        <f>AA63+AA67+AA68</f>
        <v>0</v>
      </c>
      <c r="AB62" s="88">
        <f>AB63+AB67+AB68</f>
        <v>472.4</v>
      </c>
      <c r="AC62" s="88">
        <f>AC63+AC67+AC68</f>
        <v>1246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29" s="12" customFormat="1" ht="72.75" customHeight="1">
      <c r="A63" s="27" t="s">
        <v>89</v>
      </c>
      <c r="B63" s="101" t="s">
        <v>88</v>
      </c>
      <c r="C63" s="86" t="s">
        <v>23</v>
      </c>
      <c r="D63" s="81">
        <f aca="true" t="shared" si="46" ref="D63:D68">E63+F63+G63</f>
        <v>4962.799999999999</v>
      </c>
      <c r="E63" s="82">
        <f aca="true" t="shared" si="47" ref="E63:E68">K63+S63+W63</f>
        <v>0</v>
      </c>
      <c r="F63" s="83">
        <f aca="true" t="shared" si="48" ref="F63:G68">L63+P63+X63+AB63</f>
        <v>1417.1999999999998</v>
      </c>
      <c r="G63" s="83">
        <f t="shared" si="48"/>
        <v>3545.6</v>
      </c>
      <c r="H63" s="83">
        <f aca="true" t="shared" si="49" ref="H63:H68">J63+R63</f>
        <v>0</v>
      </c>
      <c r="I63" s="84">
        <f aca="true" t="shared" si="50" ref="I63:I68">K63+L63+M63</f>
        <v>0</v>
      </c>
      <c r="J63" s="84">
        <f t="shared" si="7"/>
        <v>0</v>
      </c>
      <c r="K63" s="85">
        <v>0</v>
      </c>
      <c r="L63" s="85">
        <v>0</v>
      </c>
      <c r="M63" s="89">
        <v>0</v>
      </c>
      <c r="N63" s="81">
        <f aca="true" t="shared" si="51" ref="N63:N68">SUM(O63:R63)</f>
        <v>1604.4</v>
      </c>
      <c r="O63" s="82">
        <v>0</v>
      </c>
      <c r="P63" s="82">
        <v>472.4</v>
      </c>
      <c r="Q63" s="82">
        <f>388.85+24.9+718.25</f>
        <v>1132</v>
      </c>
      <c r="R63" s="81">
        <f aca="true" t="shared" si="52" ref="R63:R68">SUM(S63:U63)</f>
        <v>0</v>
      </c>
      <c r="S63" s="82">
        <v>0</v>
      </c>
      <c r="T63" s="82">
        <v>0</v>
      </c>
      <c r="U63" s="82">
        <v>0</v>
      </c>
      <c r="V63" s="81">
        <f aca="true" t="shared" si="53" ref="V63:V68">W63+X63+Y63</f>
        <v>1650</v>
      </c>
      <c r="W63" s="82">
        <v>0</v>
      </c>
      <c r="X63" s="82">
        <v>472.4</v>
      </c>
      <c r="Y63" s="82">
        <f>425.95+24.9+736.75-10</f>
        <v>1177.6</v>
      </c>
      <c r="Z63" s="81">
        <f aca="true" t="shared" si="54" ref="Z63:Z68">AA63+AB63+AC63</f>
        <v>1708.4</v>
      </c>
      <c r="AA63" s="82">
        <v>0</v>
      </c>
      <c r="AB63" s="82">
        <v>472.4</v>
      </c>
      <c r="AC63" s="82">
        <f>730.26+480.84+24.9</f>
        <v>1236</v>
      </c>
    </row>
    <row r="64" spans="1:29" s="12" customFormat="1" ht="33" customHeight="1">
      <c r="A64" s="27"/>
      <c r="B64" s="106" t="s">
        <v>61</v>
      </c>
      <c r="C64" s="86" t="s">
        <v>23</v>
      </c>
      <c r="D64" s="81">
        <f t="shared" si="46"/>
        <v>1382.85</v>
      </c>
      <c r="E64" s="82">
        <f t="shared" si="47"/>
        <v>0</v>
      </c>
      <c r="F64" s="83">
        <f t="shared" si="48"/>
        <v>1313.6999999999998</v>
      </c>
      <c r="G64" s="83">
        <f t="shared" si="48"/>
        <v>69.15</v>
      </c>
      <c r="H64" s="83">
        <f t="shared" si="49"/>
        <v>0</v>
      </c>
      <c r="I64" s="84">
        <f t="shared" si="50"/>
        <v>0</v>
      </c>
      <c r="J64" s="84">
        <f t="shared" si="7"/>
        <v>0</v>
      </c>
      <c r="K64" s="85">
        <v>0</v>
      </c>
      <c r="L64" s="85">
        <v>0</v>
      </c>
      <c r="M64" s="85">
        <v>0</v>
      </c>
      <c r="N64" s="81">
        <f t="shared" si="51"/>
        <v>460.95</v>
      </c>
      <c r="O64" s="82">
        <v>0</v>
      </c>
      <c r="P64" s="85">
        <v>437.9</v>
      </c>
      <c r="Q64" s="85">
        <v>23.05</v>
      </c>
      <c r="R64" s="81">
        <f t="shared" si="52"/>
        <v>0</v>
      </c>
      <c r="S64" s="82">
        <v>0</v>
      </c>
      <c r="T64" s="85">
        <v>0</v>
      </c>
      <c r="U64" s="85">
        <v>0</v>
      </c>
      <c r="V64" s="81">
        <f t="shared" si="53"/>
        <v>460.95</v>
      </c>
      <c r="W64" s="82">
        <v>0</v>
      </c>
      <c r="X64" s="85">
        <v>437.9</v>
      </c>
      <c r="Y64" s="85">
        <v>23.05</v>
      </c>
      <c r="Z64" s="81">
        <f t="shared" si="54"/>
        <v>460.95</v>
      </c>
      <c r="AA64" s="82">
        <v>0</v>
      </c>
      <c r="AB64" s="85">
        <v>437.9</v>
      </c>
      <c r="AC64" s="85">
        <v>23.05</v>
      </c>
    </row>
    <row r="65" spans="1:29" s="12" customFormat="1" ht="31.5" customHeight="1">
      <c r="A65" s="27"/>
      <c r="B65" s="106" t="s">
        <v>62</v>
      </c>
      <c r="C65" s="86" t="s">
        <v>23</v>
      </c>
      <c r="D65" s="81">
        <f t="shared" si="46"/>
        <v>109.05</v>
      </c>
      <c r="E65" s="82">
        <f t="shared" si="47"/>
        <v>0</v>
      </c>
      <c r="F65" s="83">
        <f t="shared" si="48"/>
        <v>103.5</v>
      </c>
      <c r="G65" s="83">
        <f t="shared" si="48"/>
        <v>5.550000000000001</v>
      </c>
      <c r="H65" s="83">
        <f t="shared" si="49"/>
        <v>0</v>
      </c>
      <c r="I65" s="84">
        <f t="shared" si="50"/>
        <v>0</v>
      </c>
      <c r="J65" s="84">
        <f t="shared" si="7"/>
        <v>0</v>
      </c>
      <c r="K65" s="85">
        <v>0</v>
      </c>
      <c r="L65" s="85">
        <v>0</v>
      </c>
      <c r="M65" s="85">
        <v>0</v>
      </c>
      <c r="N65" s="81">
        <f t="shared" si="51"/>
        <v>36.35</v>
      </c>
      <c r="O65" s="82">
        <v>0</v>
      </c>
      <c r="P65" s="82">
        <v>34.5</v>
      </c>
      <c r="Q65" s="82">
        <v>1.85</v>
      </c>
      <c r="R65" s="81">
        <f t="shared" si="52"/>
        <v>0</v>
      </c>
      <c r="S65" s="82">
        <v>0</v>
      </c>
      <c r="T65" s="82">
        <v>0</v>
      </c>
      <c r="U65" s="82">
        <v>0</v>
      </c>
      <c r="V65" s="81">
        <f t="shared" si="53"/>
        <v>36.35</v>
      </c>
      <c r="W65" s="82">
        <v>0</v>
      </c>
      <c r="X65" s="82">
        <v>34.5</v>
      </c>
      <c r="Y65" s="82">
        <v>1.85</v>
      </c>
      <c r="Z65" s="81">
        <f t="shared" si="54"/>
        <v>36.35</v>
      </c>
      <c r="AA65" s="82">
        <v>0</v>
      </c>
      <c r="AB65" s="82">
        <v>34.5</v>
      </c>
      <c r="AC65" s="82">
        <v>1.85</v>
      </c>
    </row>
    <row r="66" spans="1:29" s="12" customFormat="1" ht="32.25" customHeight="1">
      <c r="A66" s="27"/>
      <c r="B66" s="106" t="s">
        <v>63</v>
      </c>
      <c r="C66" s="86" t="s">
        <v>23</v>
      </c>
      <c r="D66" s="81">
        <f t="shared" si="46"/>
        <v>0</v>
      </c>
      <c r="E66" s="82">
        <f t="shared" si="47"/>
        <v>0</v>
      </c>
      <c r="F66" s="83">
        <f t="shared" si="48"/>
        <v>0</v>
      </c>
      <c r="G66" s="83">
        <f t="shared" si="48"/>
        <v>0</v>
      </c>
      <c r="H66" s="83">
        <f t="shared" si="49"/>
        <v>0</v>
      </c>
      <c r="I66" s="84">
        <f t="shared" si="50"/>
        <v>0</v>
      </c>
      <c r="J66" s="84">
        <f t="shared" si="7"/>
        <v>0</v>
      </c>
      <c r="K66" s="85">
        <v>0</v>
      </c>
      <c r="L66" s="85">
        <v>0</v>
      </c>
      <c r="M66" s="85">
        <v>0</v>
      </c>
      <c r="N66" s="81">
        <f t="shared" si="51"/>
        <v>0</v>
      </c>
      <c r="O66" s="82">
        <v>0</v>
      </c>
      <c r="P66" s="82">
        <v>0</v>
      </c>
      <c r="Q66" s="82">
        <v>0</v>
      </c>
      <c r="R66" s="81">
        <f t="shared" si="52"/>
        <v>0</v>
      </c>
      <c r="S66" s="82">
        <v>0</v>
      </c>
      <c r="T66" s="82">
        <v>0</v>
      </c>
      <c r="U66" s="82">
        <v>0</v>
      </c>
      <c r="V66" s="81">
        <f t="shared" si="53"/>
        <v>0</v>
      </c>
      <c r="W66" s="82">
        <v>0</v>
      </c>
      <c r="X66" s="82">
        <v>0</v>
      </c>
      <c r="Y66" s="82">
        <v>0</v>
      </c>
      <c r="Z66" s="81">
        <f t="shared" si="54"/>
        <v>0</v>
      </c>
      <c r="AA66" s="82">
        <v>0</v>
      </c>
      <c r="AB66" s="82">
        <v>0</v>
      </c>
      <c r="AC66" s="82">
        <v>0</v>
      </c>
    </row>
    <row r="67" spans="1:29" s="12" customFormat="1" ht="61.5" customHeight="1">
      <c r="A67" s="27" t="s">
        <v>90</v>
      </c>
      <c r="B67" s="107" t="s">
        <v>48</v>
      </c>
      <c r="C67" s="86" t="s">
        <v>23</v>
      </c>
      <c r="D67" s="81">
        <f t="shared" si="46"/>
        <v>30</v>
      </c>
      <c r="E67" s="82">
        <f t="shared" si="47"/>
        <v>0</v>
      </c>
      <c r="F67" s="83">
        <f t="shared" si="48"/>
        <v>0</v>
      </c>
      <c r="G67" s="83">
        <f t="shared" si="48"/>
        <v>30</v>
      </c>
      <c r="H67" s="83">
        <f t="shared" si="49"/>
        <v>0</v>
      </c>
      <c r="I67" s="84">
        <f t="shared" si="50"/>
        <v>0</v>
      </c>
      <c r="J67" s="84">
        <f t="shared" si="7"/>
        <v>0</v>
      </c>
      <c r="K67" s="85">
        <v>0</v>
      </c>
      <c r="L67" s="85">
        <v>0</v>
      </c>
      <c r="M67" s="85">
        <v>0</v>
      </c>
      <c r="N67" s="81">
        <f t="shared" si="51"/>
        <v>10</v>
      </c>
      <c r="O67" s="82">
        <v>0</v>
      </c>
      <c r="P67" s="82">
        <v>0</v>
      </c>
      <c r="Q67" s="82">
        <v>10</v>
      </c>
      <c r="R67" s="81">
        <f t="shared" si="52"/>
        <v>0</v>
      </c>
      <c r="S67" s="82">
        <v>0</v>
      </c>
      <c r="T67" s="82">
        <v>0</v>
      </c>
      <c r="U67" s="82">
        <v>0</v>
      </c>
      <c r="V67" s="81">
        <f t="shared" si="53"/>
        <v>10</v>
      </c>
      <c r="W67" s="82">
        <v>0</v>
      </c>
      <c r="X67" s="82">
        <v>0</v>
      </c>
      <c r="Y67" s="82">
        <f>10</f>
        <v>10</v>
      </c>
      <c r="Z67" s="81">
        <f t="shared" si="54"/>
        <v>10</v>
      </c>
      <c r="AA67" s="82">
        <v>0</v>
      </c>
      <c r="AB67" s="82">
        <v>0</v>
      </c>
      <c r="AC67" s="82">
        <f>10</f>
        <v>10</v>
      </c>
    </row>
    <row r="68" spans="1:64" ht="33.75" customHeight="1">
      <c r="A68" s="27" t="s">
        <v>91</v>
      </c>
      <c r="B68" s="101" t="s">
        <v>46</v>
      </c>
      <c r="C68" s="86" t="s">
        <v>23</v>
      </c>
      <c r="D68" s="81">
        <f t="shared" si="46"/>
        <v>0</v>
      </c>
      <c r="E68" s="82">
        <f t="shared" si="47"/>
        <v>0</v>
      </c>
      <c r="F68" s="83">
        <f t="shared" si="48"/>
        <v>0</v>
      </c>
      <c r="G68" s="83">
        <f t="shared" si="48"/>
        <v>0</v>
      </c>
      <c r="H68" s="83">
        <f t="shared" si="49"/>
        <v>0</v>
      </c>
      <c r="I68" s="84">
        <f t="shared" si="50"/>
        <v>0</v>
      </c>
      <c r="J68" s="84">
        <f t="shared" si="7"/>
        <v>0</v>
      </c>
      <c r="K68" s="85">
        <v>0</v>
      </c>
      <c r="L68" s="85">
        <v>0</v>
      </c>
      <c r="M68" s="85">
        <v>0</v>
      </c>
      <c r="N68" s="81">
        <f t="shared" si="51"/>
        <v>0</v>
      </c>
      <c r="O68" s="82">
        <v>0</v>
      </c>
      <c r="P68" s="82">
        <v>0</v>
      </c>
      <c r="Q68" s="82">
        <v>0</v>
      </c>
      <c r="R68" s="81">
        <f t="shared" si="52"/>
        <v>0</v>
      </c>
      <c r="S68" s="82">
        <v>0</v>
      </c>
      <c r="T68" s="82">
        <v>0</v>
      </c>
      <c r="U68" s="82">
        <v>0</v>
      </c>
      <c r="V68" s="81">
        <f t="shared" si="53"/>
        <v>0</v>
      </c>
      <c r="W68" s="82">
        <v>0</v>
      </c>
      <c r="X68" s="82">
        <v>0</v>
      </c>
      <c r="Y68" s="82">
        <v>0</v>
      </c>
      <c r="Z68" s="81">
        <f t="shared" si="54"/>
        <v>0</v>
      </c>
      <c r="AA68" s="82">
        <v>0</v>
      </c>
      <c r="AB68" s="82">
        <v>0</v>
      </c>
      <c r="AC68" s="82">
        <v>0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  <row r="103" ht="11.25">
      <c r="B103" s="1"/>
    </row>
    <row r="104" ht="11.25">
      <c r="B104" s="1"/>
    </row>
    <row r="105" ht="11.25">
      <c r="B105" s="1"/>
    </row>
    <row r="106" ht="11.25">
      <c r="B106" s="1"/>
    </row>
    <row r="107" ht="11.25">
      <c r="B107" s="1"/>
    </row>
    <row r="108" ht="11.25">
      <c r="B108" s="1"/>
    </row>
  </sheetData>
  <sheetProtection/>
  <mergeCells count="11">
    <mergeCell ref="D4:H5"/>
    <mergeCell ref="D6:H6"/>
    <mergeCell ref="V6:Y6"/>
    <mergeCell ref="Z1:AC2"/>
    <mergeCell ref="Z6:AC6"/>
    <mergeCell ref="A1:Y1"/>
    <mergeCell ref="C4:C7"/>
    <mergeCell ref="I6:M6"/>
    <mergeCell ref="N6:U6"/>
    <mergeCell ref="A4:A7"/>
    <mergeCell ref="B4:B7"/>
  </mergeCells>
  <printOptions/>
  <pageMargins left="0.5511811023622047" right="0.1968503937007874" top="0.5511811023622047" bottom="0.3937007874015748" header="0.31496062992125984" footer="0.8661417322834646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I126"/>
  <sheetViews>
    <sheetView tabSelected="1" view="pageBreakPreview" zoomScaleSheetLayoutView="100" zoomScalePageLayoutView="0" workbookViewId="0" topLeftCell="A1">
      <pane xSplit="3" ySplit="7" topLeftCell="W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" sqref="W1:Z3"/>
    </sheetView>
  </sheetViews>
  <sheetFormatPr defaultColWidth="5.7109375" defaultRowHeight="15"/>
  <cols>
    <col min="1" max="1" width="5.7109375" style="1" customWidth="1"/>
    <col min="2" max="2" width="38.57421875" style="2" customWidth="1"/>
    <col min="3" max="3" width="14.00390625" style="1" customWidth="1"/>
    <col min="4" max="4" width="15.421875" style="1" customWidth="1"/>
    <col min="5" max="5" width="12.8515625" style="1" customWidth="1"/>
    <col min="6" max="6" width="12.57421875" style="1" customWidth="1"/>
    <col min="7" max="8" width="14.00390625" style="1" customWidth="1"/>
    <col min="9" max="10" width="14.28125" style="3" customWidth="1"/>
    <col min="11" max="11" width="12.421875" style="3" customWidth="1"/>
    <col min="12" max="12" width="13.8515625" style="3" customWidth="1"/>
    <col min="13" max="13" width="13.28125" style="3" customWidth="1"/>
    <col min="14" max="15" width="13.00390625" style="1" customWidth="1"/>
    <col min="16" max="16" width="12.8515625" style="1" customWidth="1"/>
    <col min="17" max="17" width="13.00390625" style="1" customWidth="1"/>
    <col min="18" max="18" width="13.140625" style="1" customWidth="1"/>
    <col min="19" max="19" width="12.8515625" style="1" customWidth="1"/>
    <col min="20" max="20" width="9.00390625" style="1" customWidth="1"/>
    <col min="21" max="21" width="12.7109375" style="1" customWidth="1"/>
    <col min="22" max="22" width="13.421875" style="1" customWidth="1"/>
    <col min="23" max="23" width="11.8515625" style="1" customWidth="1"/>
    <col min="24" max="24" width="11.28125" style="1" customWidth="1"/>
    <col min="25" max="25" width="13.00390625" style="1" customWidth="1"/>
    <col min="26" max="26" width="13.7109375" style="1" customWidth="1"/>
    <col min="27" max="16384" width="5.7109375" style="1" customWidth="1"/>
  </cols>
  <sheetData>
    <row r="1" spans="1:26" ht="35.25" customHeight="1">
      <c r="A1" s="160" t="s">
        <v>49</v>
      </c>
      <c r="B1" s="160"/>
      <c r="C1" s="160"/>
      <c r="D1" s="160"/>
      <c r="E1" s="160"/>
      <c r="F1" s="160"/>
      <c r="G1" s="160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77" t="s">
        <v>160</v>
      </c>
      <c r="X1" s="177"/>
      <c r="Y1" s="177"/>
      <c r="Z1" s="177"/>
    </row>
    <row r="2" spans="1:26" ht="11.25">
      <c r="A2" s="13"/>
      <c r="B2" s="15"/>
      <c r="C2" s="13"/>
      <c r="D2" s="9"/>
      <c r="E2" s="9"/>
      <c r="F2" s="9"/>
      <c r="G2" s="9"/>
      <c r="H2" s="9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9"/>
      <c r="U2" s="9"/>
      <c r="V2" s="12" t="s">
        <v>36</v>
      </c>
      <c r="W2" s="177"/>
      <c r="X2" s="177"/>
      <c r="Y2" s="177"/>
      <c r="Z2" s="177"/>
    </row>
    <row r="3" spans="1:26" ht="20.25" customHeight="1">
      <c r="A3" s="16"/>
      <c r="B3" s="17"/>
      <c r="C3" s="16"/>
      <c r="D3" s="9"/>
      <c r="E3" s="9"/>
      <c r="F3" s="9"/>
      <c r="G3" s="9"/>
      <c r="H3" s="9"/>
      <c r="I3" s="140"/>
      <c r="J3" s="5"/>
      <c r="K3" s="5"/>
      <c r="L3" s="5"/>
      <c r="M3" s="5"/>
      <c r="N3" s="9"/>
      <c r="O3" s="9"/>
      <c r="P3" s="9"/>
      <c r="Q3" s="9"/>
      <c r="R3" s="9"/>
      <c r="S3" s="9"/>
      <c r="T3" s="9"/>
      <c r="U3" s="9"/>
      <c r="V3" s="9"/>
      <c r="W3" s="178"/>
      <c r="X3" s="178"/>
      <c r="Y3" s="178"/>
      <c r="Z3" s="178"/>
    </row>
    <row r="4" spans="1:61" ht="19.5" customHeight="1">
      <c r="A4" s="162" t="s">
        <v>37</v>
      </c>
      <c r="B4" s="168" t="s">
        <v>35</v>
      </c>
      <c r="C4" s="162" t="s">
        <v>1</v>
      </c>
      <c r="D4" s="171" t="s">
        <v>26</v>
      </c>
      <c r="E4" s="172"/>
      <c r="F4" s="172"/>
      <c r="G4" s="172"/>
      <c r="H4" s="173"/>
      <c r="I4" s="6"/>
      <c r="J4" s="6"/>
      <c r="K4" s="6"/>
      <c r="L4" s="6"/>
      <c r="M4" s="6"/>
      <c r="N4" s="10"/>
      <c r="O4" s="10"/>
      <c r="P4" s="10"/>
      <c r="Q4" s="10"/>
      <c r="R4" s="10"/>
      <c r="S4" s="10"/>
      <c r="T4" s="10"/>
      <c r="U4" s="10"/>
      <c r="V4" s="10"/>
      <c r="W4" s="6"/>
      <c r="X4" s="6"/>
      <c r="Y4" s="124"/>
      <c r="Z4" s="12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26.25" customHeight="1">
      <c r="A5" s="163"/>
      <c r="B5" s="169"/>
      <c r="C5" s="163"/>
      <c r="D5" s="174"/>
      <c r="E5" s="175"/>
      <c r="F5" s="175"/>
      <c r="G5" s="175"/>
      <c r="H5" s="176"/>
      <c r="I5" s="6"/>
      <c r="J5" s="6"/>
      <c r="K5" s="6"/>
      <c r="L5" s="6"/>
      <c r="M5" s="6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124"/>
      <c r="Z5" s="124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21" customHeight="1">
      <c r="A6" s="163"/>
      <c r="B6" s="169"/>
      <c r="C6" s="163"/>
      <c r="D6" s="154" t="s">
        <v>0</v>
      </c>
      <c r="E6" s="155"/>
      <c r="F6" s="155"/>
      <c r="G6" s="155"/>
      <c r="H6" s="156"/>
      <c r="I6" s="165" t="s">
        <v>30</v>
      </c>
      <c r="J6" s="166"/>
      <c r="K6" s="166"/>
      <c r="L6" s="166"/>
      <c r="M6" s="167"/>
      <c r="N6" s="154" t="s">
        <v>31</v>
      </c>
      <c r="O6" s="155"/>
      <c r="P6" s="157"/>
      <c r="Q6" s="157"/>
      <c r="R6" s="158"/>
      <c r="S6" s="154" t="s">
        <v>32</v>
      </c>
      <c r="T6" s="157"/>
      <c r="U6" s="157"/>
      <c r="V6" s="158"/>
      <c r="W6" s="154" t="s">
        <v>98</v>
      </c>
      <c r="X6" s="157"/>
      <c r="Y6" s="157"/>
      <c r="Z6" s="15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1.25">
      <c r="A7" s="164"/>
      <c r="B7" s="170"/>
      <c r="C7" s="164"/>
      <c r="D7" s="19" t="s">
        <v>38</v>
      </c>
      <c r="E7" s="14" t="s">
        <v>39</v>
      </c>
      <c r="F7" s="14" t="s">
        <v>40</v>
      </c>
      <c r="G7" s="19" t="s">
        <v>41</v>
      </c>
      <c r="H7" s="19" t="s">
        <v>119</v>
      </c>
      <c r="I7" s="20" t="s">
        <v>38</v>
      </c>
      <c r="J7" s="20" t="s">
        <v>120</v>
      </c>
      <c r="K7" s="20" t="s">
        <v>39</v>
      </c>
      <c r="L7" s="20" t="s">
        <v>40</v>
      </c>
      <c r="M7" s="20" t="s">
        <v>41</v>
      </c>
      <c r="N7" s="19" t="s">
        <v>38</v>
      </c>
      <c r="O7" s="19" t="s">
        <v>120</v>
      </c>
      <c r="P7" s="19" t="s">
        <v>39</v>
      </c>
      <c r="Q7" s="19" t="s">
        <v>40</v>
      </c>
      <c r="R7" s="19" t="s">
        <v>41</v>
      </c>
      <c r="S7" s="19" t="s">
        <v>38</v>
      </c>
      <c r="T7" s="19" t="s">
        <v>39</v>
      </c>
      <c r="U7" s="19" t="s">
        <v>40</v>
      </c>
      <c r="V7" s="19" t="s">
        <v>41</v>
      </c>
      <c r="W7" s="19" t="s">
        <v>38</v>
      </c>
      <c r="X7" s="19" t="s">
        <v>39</v>
      </c>
      <c r="Y7" s="19" t="s">
        <v>40</v>
      </c>
      <c r="Z7" s="19" t="s">
        <v>41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21.75" customHeight="1">
      <c r="A8" s="22"/>
      <c r="B8" s="97" t="s">
        <v>50</v>
      </c>
      <c r="C8" s="75"/>
      <c r="D8" s="76">
        <f>D9+D24+D57+D66</f>
        <v>122972.19066000001</v>
      </c>
      <c r="E8" s="76">
        <f aca="true" t="shared" si="0" ref="E8:Z8">E9+E24+E57+E66</f>
        <v>0</v>
      </c>
      <c r="F8" s="76">
        <f t="shared" si="0"/>
        <v>0</v>
      </c>
      <c r="G8" s="76">
        <f t="shared" si="0"/>
        <v>0</v>
      </c>
      <c r="H8" s="76">
        <f t="shared" si="0"/>
        <v>122972.19066000001</v>
      </c>
      <c r="I8" s="76">
        <f t="shared" si="0"/>
        <v>29323.61162</v>
      </c>
      <c r="J8" s="76">
        <f t="shared" si="0"/>
        <v>29323.61162</v>
      </c>
      <c r="K8" s="76">
        <f t="shared" si="0"/>
        <v>4260.27857</v>
      </c>
      <c r="L8" s="76">
        <f t="shared" si="0"/>
        <v>7891.27669</v>
      </c>
      <c r="M8" s="76">
        <f t="shared" si="0"/>
        <v>17172.05636</v>
      </c>
      <c r="N8" s="76">
        <f>N9+N24+N57+N66</f>
        <v>93648.57904</v>
      </c>
      <c r="O8" s="76">
        <f>O9+O24+O57+O66</f>
        <v>93648.57904</v>
      </c>
      <c r="P8" s="76">
        <f t="shared" si="0"/>
        <v>0</v>
      </c>
      <c r="Q8" s="76">
        <f t="shared" si="0"/>
        <v>52581.149999999994</v>
      </c>
      <c r="R8" s="76">
        <f t="shared" si="0"/>
        <v>41067.42904</v>
      </c>
      <c r="S8" s="76">
        <f t="shared" si="0"/>
        <v>0</v>
      </c>
      <c r="T8" s="76">
        <f t="shared" si="0"/>
        <v>0</v>
      </c>
      <c r="U8" s="76">
        <f t="shared" si="0"/>
        <v>0</v>
      </c>
      <c r="V8" s="76">
        <f t="shared" si="0"/>
        <v>0</v>
      </c>
      <c r="W8" s="76">
        <f t="shared" si="0"/>
        <v>0</v>
      </c>
      <c r="X8" s="76">
        <f t="shared" si="0"/>
        <v>0</v>
      </c>
      <c r="Y8" s="76">
        <f t="shared" si="0"/>
        <v>0</v>
      </c>
      <c r="Z8" s="76">
        <f t="shared" si="0"/>
        <v>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54" customHeight="1">
      <c r="A9" s="22"/>
      <c r="B9" s="98" t="s">
        <v>115</v>
      </c>
      <c r="C9" s="77"/>
      <c r="D9" s="76">
        <f>D10</f>
        <v>80806.24307000001</v>
      </c>
      <c r="E9" s="76">
        <f aca="true" t="shared" si="1" ref="E9:Z9">E10</f>
        <v>0</v>
      </c>
      <c r="F9" s="76">
        <f t="shared" si="1"/>
        <v>0</v>
      </c>
      <c r="G9" s="76">
        <f t="shared" si="1"/>
        <v>0</v>
      </c>
      <c r="H9" s="76">
        <f>H10</f>
        <v>80806.24307000001</v>
      </c>
      <c r="I9" s="76">
        <f t="shared" si="1"/>
        <v>22913.072519999998</v>
      </c>
      <c r="J9" s="76">
        <f t="shared" si="1"/>
        <v>22913.072519999998</v>
      </c>
      <c r="K9" s="76">
        <f t="shared" si="1"/>
        <v>0</v>
      </c>
      <c r="L9" s="76">
        <f t="shared" si="1"/>
        <v>7261.6846</v>
      </c>
      <c r="M9" s="76">
        <f t="shared" si="1"/>
        <v>15651.38792</v>
      </c>
      <c r="N9" s="76">
        <f>N10+N22</f>
        <v>57893.17055</v>
      </c>
      <c r="O9" s="76">
        <f>O10+O22</f>
        <v>57893.17055</v>
      </c>
      <c r="P9" s="76">
        <f t="shared" si="1"/>
        <v>0</v>
      </c>
      <c r="Q9" s="76">
        <f t="shared" si="1"/>
        <v>23052.86</v>
      </c>
      <c r="R9" s="76">
        <f>R10+R22</f>
        <v>34840.31055</v>
      </c>
      <c r="S9" s="76">
        <f t="shared" si="1"/>
        <v>0</v>
      </c>
      <c r="T9" s="76">
        <f t="shared" si="1"/>
        <v>0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26" s="74" customFormat="1" ht="61.5" customHeight="1">
      <c r="A10" s="23" t="s">
        <v>3</v>
      </c>
      <c r="B10" s="99" t="s">
        <v>51</v>
      </c>
      <c r="C10" s="78"/>
      <c r="D10" s="79">
        <f>D11+D15+D16+D17+D18+D19+D20+D21+D22</f>
        <v>80806.24307000001</v>
      </c>
      <c r="E10" s="79">
        <f aca="true" t="shared" si="2" ref="E10:M10">E11+E15+E16+E17+E18+E19+E20+E21+E22</f>
        <v>0</v>
      </c>
      <c r="F10" s="79">
        <f t="shared" si="2"/>
        <v>0</v>
      </c>
      <c r="G10" s="79">
        <f t="shared" si="2"/>
        <v>0</v>
      </c>
      <c r="H10" s="79">
        <f t="shared" si="2"/>
        <v>80806.24307000001</v>
      </c>
      <c r="I10" s="79">
        <f t="shared" si="2"/>
        <v>22913.072519999998</v>
      </c>
      <c r="J10" s="79">
        <f t="shared" si="2"/>
        <v>22913.072519999998</v>
      </c>
      <c r="K10" s="79">
        <f t="shared" si="2"/>
        <v>0</v>
      </c>
      <c r="L10" s="79">
        <f t="shared" si="2"/>
        <v>7261.6846</v>
      </c>
      <c r="M10" s="79">
        <f t="shared" si="2"/>
        <v>15651.38792</v>
      </c>
      <c r="N10" s="79">
        <f>N11+N15+N16+N17+N18+N19+N20+N21</f>
        <v>57429.80515</v>
      </c>
      <c r="O10" s="79">
        <f>O11+O15+O16+O17+O18+O19+O20+O21</f>
        <v>57429.80515</v>
      </c>
      <c r="P10" s="79">
        <f>P11+P15+P16+P17+P18+P19+P20</f>
        <v>0</v>
      </c>
      <c r="Q10" s="79">
        <f>Q11+Q15+Q16+Q17+Q18+Q19+Q20</f>
        <v>23052.86</v>
      </c>
      <c r="R10" s="79">
        <f>R11+R15+R16+R17+R18+R19+R20+R21</f>
        <v>34376.94515</v>
      </c>
      <c r="S10" s="79">
        <f aca="true" t="shared" si="3" ref="S10:Z10">S11+S15+S16+S17+S18+S19+S20</f>
        <v>0</v>
      </c>
      <c r="T10" s="79">
        <f t="shared" si="3"/>
        <v>0</v>
      </c>
      <c r="U10" s="79">
        <f t="shared" si="3"/>
        <v>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</row>
    <row r="11" spans="1:61" ht="60">
      <c r="A11" s="19" t="s">
        <v>2</v>
      </c>
      <c r="B11" s="114" t="s">
        <v>66</v>
      </c>
      <c r="C11" s="80" t="s">
        <v>52</v>
      </c>
      <c r="D11" s="81">
        <f>SUM(E11:H11)</f>
        <v>78953.2752</v>
      </c>
      <c r="E11" s="82">
        <f>T11</f>
        <v>0</v>
      </c>
      <c r="F11" s="83">
        <f>U11</f>
        <v>0</v>
      </c>
      <c r="G11" s="83">
        <f>V11</f>
        <v>0</v>
      </c>
      <c r="H11" s="83">
        <f>J11+O11</f>
        <v>78953.2752</v>
      </c>
      <c r="I11" s="84">
        <f>J11</f>
        <v>22665.24094</v>
      </c>
      <c r="J11" s="84">
        <f>SUM(K11:M11)</f>
        <v>22665.24094</v>
      </c>
      <c r="K11" s="85">
        <v>0</v>
      </c>
      <c r="L11" s="85">
        <v>7261.6846</v>
      </c>
      <c r="M11" s="89">
        <f>15522.4887-118.93236</f>
        <v>15403.55634</v>
      </c>
      <c r="N11" s="128">
        <f>O11</f>
        <v>56288.03426</v>
      </c>
      <c r="O11" s="128">
        <f>SUM(P11:R11)</f>
        <v>56288.03426</v>
      </c>
      <c r="P11" s="89">
        <v>0</v>
      </c>
      <c r="Q11" s="129">
        <f>Q12+Q13</f>
        <v>23052.86</v>
      </c>
      <c r="R11" s="129">
        <f>35063.80971-450-197.86863-394.54273+500-100-350-200-172.85869-463.3654</f>
        <v>33235.17426</v>
      </c>
      <c r="S11" s="81">
        <f aca="true" t="shared" si="4" ref="S11:S19">T11+U11+V11</f>
        <v>0</v>
      </c>
      <c r="T11" s="82">
        <v>0</v>
      </c>
      <c r="U11" s="82">
        <v>0</v>
      </c>
      <c r="V11" s="82">
        <v>0</v>
      </c>
      <c r="W11" s="81">
        <f aca="true" t="shared" si="5" ref="W11:W19">X11+Y11+Z11</f>
        <v>0</v>
      </c>
      <c r="X11" s="82">
        <v>0</v>
      </c>
      <c r="Y11" s="82">
        <v>0</v>
      </c>
      <c r="Z11" s="82">
        <v>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23.25" customHeight="1">
      <c r="A12" s="19"/>
      <c r="B12" s="106" t="s">
        <v>61</v>
      </c>
      <c r="C12" s="80" t="s">
        <v>52</v>
      </c>
      <c r="D12" s="81">
        <f aca="true" t="shared" si="6" ref="D12:D18">SUM(E12:H12)</f>
        <v>31193.4522</v>
      </c>
      <c r="E12" s="82">
        <f aca="true" t="shared" si="7" ref="E12:E19">T12</f>
        <v>0</v>
      </c>
      <c r="F12" s="83">
        <f aca="true" t="shared" si="8" ref="F12:F19">U12</f>
        <v>0</v>
      </c>
      <c r="G12" s="83">
        <f aca="true" t="shared" si="9" ref="G12:G19">V12</f>
        <v>0</v>
      </c>
      <c r="H12" s="83">
        <f aca="true" t="shared" si="10" ref="H12:H18">J12+O12</f>
        <v>31193.4522</v>
      </c>
      <c r="I12" s="84">
        <f aca="true" t="shared" si="11" ref="I12:I19">J12</f>
        <v>7531.032200000001</v>
      </c>
      <c r="J12" s="84">
        <f aca="true" t="shared" si="12" ref="J12:J19">SUM(K12:M12)</f>
        <v>7531.032200000001</v>
      </c>
      <c r="K12" s="85">
        <v>0</v>
      </c>
      <c r="L12" s="85">
        <f>5440.578+1643.055</f>
        <v>7083.633000000001</v>
      </c>
      <c r="M12" s="85">
        <f>343.6392+103.76</f>
        <v>447.3992</v>
      </c>
      <c r="N12" s="128">
        <f aca="true" t="shared" si="13" ref="N12:N19">O12</f>
        <v>23662.42</v>
      </c>
      <c r="O12" s="128">
        <f aca="true" t="shared" si="14" ref="O12:O19">SUM(P12:R12)</f>
        <v>23662.42</v>
      </c>
      <c r="P12" s="89">
        <v>0</v>
      </c>
      <c r="Q12" s="129">
        <v>22479.3</v>
      </c>
      <c r="R12" s="129">
        <v>1183.12</v>
      </c>
      <c r="S12" s="81">
        <f t="shared" si="4"/>
        <v>0</v>
      </c>
      <c r="T12" s="82">
        <v>0</v>
      </c>
      <c r="U12" s="82">
        <v>0</v>
      </c>
      <c r="V12" s="82">
        <v>0</v>
      </c>
      <c r="W12" s="81">
        <f t="shared" si="5"/>
        <v>0</v>
      </c>
      <c r="X12" s="82">
        <v>0</v>
      </c>
      <c r="Y12" s="82">
        <v>0</v>
      </c>
      <c r="Z12" s="82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27" customHeight="1">
      <c r="A13" s="19"/>
      <c r="B13" s="106" t="s">
        <v>62</v>
      </c>
      <c r="C13" s="80" t="s">
        <v>52</v>
      </c>
      <c r="D13" s="81">
        <f t="shared" si="6"/>
        <v>792.8815999999999</v>
      </c>
      <c r="E13" s="82">
        <f t="shared" si="7"/>
        <v>0</v>
      </c>
      <c r="F13" s="83">
        <f t="shared" si="8"/>
        <v>0</v>
      </c>
      <c r="G13" s="83">
        <f t="shared" si="9"/>
        <v>0</v>
      </c>
      <c r="H13" s="83">
        <f t="shared" si="10"/>
        <v>792.8815999999999</v>
      </c>
      <c r="I13" s="84">
        <f t="shared" si="11"/>
        <v>189.0916</v>
      </c>
      <c r="J13" s="84">
        <f t="shared" si="12"/>
        <v>189.0916</v>
      </c>
      <c r="K13" s="85">
        <v>0</v>
      </c>
      <c r="L13" s="85">
        <f>136.7516+41.3</f>
        <v>178.0516</v>
      </c>
      <c r="M13" s="85">
        <f>8.562+2.478</f>
        <v>11.04</v>
      </c>
      <c r="N13" s="128">
        <f t="shared" si="13"/>
        <v>603.79</v>
      </c>
      <c r="O13" s="128">
        <f t="shared" si="14"/>
        <v>603.79</v>
      </c>
      <c r="P13" s="89">
        <v>0</v>
      </c>
      <c r="Q13" s="129">
        <v>573.56</v>
      </c>
      <c r="R13" s="129">
        <v>30.23</v>
      </c>
      <c r="S13" s="81">
        <f t="shared" si="4"/>
        <v>0</v>
      </c>
      <c r="T13" s="82">
        <v>0</v>
      </c>
      <c r="U13" s="82">
        <v>0</v>
      </c>
      <c r="V13" s="82">
        <v>0</v>
      </c>
      <c r="W13" s="81">
        <f t="shared" si="5"/>
        <v>0</v>
      </c>
      <c r="X13" s="82">
        <v>0</v>
      </c>
      <c r="Y13" s="82">
        <v>0</v>
      </c>
      <c r="Z13" s="82"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23.25" customHeight="1">
      <c r="A14" s="19"/>
      <c r="B14" s="106" t="s">
        <v>63</v>
      </c>
      <c r="C14" s="80" t="s">
        <v>52</v>
      </c>
      <c r="D14" s="81">
        <f t="shared" si="6"/>
        <v>0</v>
      </c>
      <c r="E14" s="82">
        <f t="shared" si="7"/>
        <v>0</v>
      </c>
      <c r="F14" s="83">
        <f t="shared" si="8"/>
        <v>0</v>
      </c>
      <c r="G14" s="83">
        <f t="shared" si="9"/>
        <v>0</v>
      </c>
      <c r="H14" s="83">
        <f t="shared" si="10"/>
        <v>0</v>
      </c>
      <c r="I14" s="84">
        <f t="shared" si="11"/>
        <v>0</v>
      </c>
      <c r="J14" s="84">
        <f t="shared" si="12"/>
        <v>0</v>
      </c>
      <c r="K14" s="85">
        <v>0</v>
      </c>
      <c r="L14" s="85">
        <v>0</v>
      </c>
      <c r="M14" s="85">
        <v>0</v>
      </c>
      <c r="N14" s="128">
        <f t="shared" si="13"/>
        <v>0</v>
      </c>
      <c r="O14" s="128">
        <f t="shared" si="14"/>
        <v>0</v>
      </c>
      <c r="P14" s="82">
        <v>0</v>
      </c>
      <c r="Q14" s="129">
        <v>0</v>
      </c>
      <c r="R14" s="129">
        <v>0</v>
      </c>
      <c r="S14" s="81">
        <f t="shared" si="4"/>
        <v>0</v>
      </c>
      <c r="T14" s="82">
        <v>0</v>
      </c>
      <c r="U14" s="82">
        <v>0</v>
      </c>
      <c r="V14" s="82">
        <v>0</v>
      </c>
      <c r="W14" s="81">
        <f t="shared" si="5"/>
        <v>0</v>
      </c>
      <c r="X14" s="82">
        <v>0</v>
      </c>
      <c r="Y14" s="82">
        <v>0</v>
      </c>
      <c r="Z14" s="82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48" customHeight="1">
      <c r="A15" s="18" t="s">
        <v>4</v>
      </c>
      <c r="B15" s="107" t="s">
        <v>48</v>
      </c>
      <c r="C15" s="95" t="s">
        <v>52</v>
      </c>
      <c r="D15" s="81">
        <f t="shared" si="6"/>
        <v>628.20235</v>
      </c>
      <c r="E15" s="82">
        <f t="shared" si="7"/>
        <v>0</v>
      </c>
      <c r="F15" s="83">
        <f t="shared" si="8"/>
        <v>0</v>
      </c>
      <c r="G15" s="83">
        <f t="shared" si="9"/>
        <v>0</v>
      </c>
      <c r="H15" s="83">
        <f t="shared" si="10"/>
        <v>628.20235</v>
      </c>
      <c r="I15" s="84">
        <f t="shared" si="11"/>
        <v>178.20235</v>
      </c>
      <c r="J15" s="84">
        <f t="shared" si="12"/>
        <v>178.20235</v>
      </c>
      <c r="K15" s="85">
        <v>0</v>
      </c>
      <c r="L15" s="85">
        <v>0</v>
      </c>
      <c r="M15" s="89">
        <f>383.5249-205.32255</f>
        <v>178.20235</v>
      </c>
      <c r="N15" s="128">
        <f t="shared" si="13"/>
        <v>450</v>
      </c>
      <c r="O15" s="128">
        <f t="shared" si="14"/>
        <v>450</v>
      </c>
      <c r="P15" s="82">
        <v>0</v>
      </c>
      <c r="Q15" s="129">
        <v>0</v>
      </c>
      <c r="R15" s="129">
        <v>450</v>
      </c>
      <c r="S15" s="81">
        <f t="shared" si="4"/>
        <v>0</v>
      </c>
      <c r="T15" s="82">
        <v>0</v>
      </c>
      <c r="U15" s="82">
        <v>0</v>
      </c>
      <c r="V15" s="82">
        <v>0</v>
      </c>
      <c r="W15" s="81">
        <f t="shared" si="5"/>
        <v>0</v>
      </c>
      <c r="X15" s="82">
        <v>0</v>
      </c>
      <c r="Y15" s="82">
        <v>0</v>
      </c>
      <c r="Z15" s="82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26.25" customHeight="1">
      <c r="A16" s="18" t="s">
        <v>28</v>
      </c>
      <c r="B16" s="115" t="s">
        <v>54</v>
      </c>
      <c r="C16" s="80" t="s">
        <v>97</v>
      </c>
      <c r="D16" s="81">
        <f t="shared" si="6"/>
        <v>0</v>
      </c>
      <c r="E16" s="82">
        <f t="shared" si="7"/>
        <v>0</v>
      </c>
      <c r="F16" s="83">
        <f t="shared" si="8"/>
        <v>0</v>
      </c>
      <c r="G16" s="83">
        <f t="shared" si="9"/>
        <v>0</v>
      </c>
      <c r="H16" s="83">
        <f t="shared" si="10"/>
        <v>0</v>
      </c>
      <c r="I16" s="84">
        <f t="shared" si="11"/>
        <v>0</v>
      </c>
      <c r="J16" s="84">
        <f t="shared" si="12"/>
        <v>0</v>
      </c>
      <c r="K16" s="85">
        <v>0</v>
      </c>
      <c r="L16" s="85">
        <v>0</v>
      </c>
      <c r="M16" s="85">
        <v>0</v>
      </c>
      <c r="N16" s="128">
        <f t="shared" si="13"/>
        <v>0</v>
      </c>
      <c r="O16" s="128">
        <f t="shared" si="14"/>
        <v>0</v>
      </c>
      <c r="P16" s="82">
        <v>0</v>
      </c>
      <c r="Q16" s="129">
        <v>0</v>
      </c>
      <c r="R16" s="129">
        <v>0</v>
      </c>
      <c r="S16" s="81">
        <f t="shared" si="4"/>
        <v>0</v>
      </c>
      <c r="T16" s="82">
        <v>0</v>
      </c>
      <c r="U16" s="82">
        <v>0</v>
      </c>
      <c r="V16" s="82">
        <v>0</v>
      </c>
      <c r="W16" s="81">
        <f t="shared" si="5"/>
        <v>0</v>
      </c>
      <c r="X16" s="82">
        <v>0</v>
      </c>
      <c r="Y16" s="82">
        <v>0</v>
      </c>
      <c r="Z16" s="82"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23.25" customHeight="1">
      <c r="A17" s="18" t="s">
        <v>29</v>
      </c>
      <c r="B17" s="115" t="s">
        <v>55</v>
      </c>
      <c r="C17" s="80" t="s">
        <v>96</v>
      </c>
      <c r="D17" s="81">
        <f t="shared" si="6"/>
        <v>0</v>
      </c>
      <c r="E17" s="82">
        <f t="shared" si="7"/>
        <v>0</v>
      </c>
      <c r="F17" s="83">
        <f t="shared" si="8"/>
        <v>0</v>
      </c>
      <c r="G17" s="83">
        <f t="shared" si="9"/>
        <v>0</v>
      </c>
      <c r="H17" s="83">
        <f t="shared" si="10"/>
        <v>0</v>
      </c>
      <c r="I17" s="84">
        <f t="shared" si="11"/>
        <v>0</v>
      </c>
      <c r="J17" s="84">
        <f t="shared" si="12"/>
        <v>0</v>
      </c>
      <c r="K17" s="85">
        <v>0</v>
      </c>
      <c r="L17" s="85">
        <v>0</v>
      </c>
      <c r="M17" s="85">
        <v>0</v>
      </c>
      <c r="N17" s="128">
        <f t="shared" si="13"/>
        <v>0</v>
      </c>
      <c r="O17" s="128">
        <f t="shared" si="14"/>
        <v>0</v>
      </c>
      <c r="P17" s="82">
        <v>0</v>
      </c>
      <c r="Q17" s="82">
        <v>0</v>
      </c>
      <c r="R17" s="82">
        <v>0</v>
      </c>
      <c r="S17" s="81">
        <f t="shared" si="4"/>
        <v>0</v>
      </c>
      <c r="T17" s="82">
        <v>0</v>
      </c>
      <c r="U17" s="82">
        <v>0</v>
      </c>
      <c r="V17" s="82">
        <v>0</v>
      </c>
      <c r="W17" s="81">
        <f t="shared" si="5"/>
        <v>0</v>
      </c>
      <c r="X17" s="82">
        <v>0</v>
      </c>
      <c r="Y17" s="82">
        <v>0</v>
      </c>
      <c r="Z17" s="82"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48" customHeight="1">
      <c r="A18" s="18" t="s">
        <v>7</v>
      </c>
      <c r="B18" s="115" t="s">
        <v>56</v>
      </c>
      <c r="C18" s="80" t="s">
        <v>97</v>
      </c>
      <c r="D18" s="81">
        <f t="shared" si="6"/>
        <v>39.62923</v>
      </c>
      <c r="E18" s="82">
        <f t="shared" si="7"/>
        <v>0</v>
      </c>
      <c r="F18" s="83">
        <f t="shared" si="8"/>
        <v>0</v>
      </c>
      <c r="G18" s="83">
        <f t="shared" si="9"/>
        <v>0</v>
      </c>
      <c r="H18" s="83">
        <f t="shared" si="10"/>
        <v>39.62923</v>
      </c>
      <c r="I18" s="84">
        <f t="shared" si="11"/>
        <v>39.62923</v>
      </c>
      <c r="J18" s="84">
        <f t="shared" si="12"/>
        <v>39.62923</v>
      </c>
      <c r="K18" s="85">
        <v>0</v>
      </c>
      <c r="L18" s="85">
        <v>0</v>
      </c>
      <c r="M18" s="85">
        <v>39.62923</v>
      </c>
      <c r="N18" s="128">
        <f t="shared" si="13"/>
        <v>0</v>
      </c>
      <c r="O18" s="128">
        <f t="shared" si="14"/>
        <v>0</v>
      </c>
      <c r="P18" s="82">
        <v>0</v>
      </c>
      <c r="Q18" s="82">
        <v>0</v>
      </c>
      <c r="R18" s="82">
        <v>0</v>
      </c>
      <c r="S18" s="81">
        <f t="shared" si="4"/>
        <v>0</v>
      </c>
      <c r="T18" s="82">
        <v>0</v>
      </c>
      <c r="U18" s="82">
        <v>0</v>
      </c>
      <c r="V18" s="82">
        <v>0</v>
      </c>
      <c r="W18" s="81">
        <f t="shared" si="5"/>
        <v>0</v>
      </c>
      <c r="X18" s="82">
        <v>0</v>
      </c>
      <c r="Y18" s="82">
        <v>0</v>
      </c>
      <c r="Z18" s="82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22.5" customHeight="1">
      <c r="A19" s="18" t="s">
        <v>53</v>
      </c>
      <c r="B19" s="116" t="s">
        <v>57</v>
      </c>
      <c r="C19" s="80" t="s">
        <v>52</v>
      </c>
      <c r="D19" s="81">
        <f>SUM(E19:H19)</f>
        <v>30</v>
      </c>
      <c r="E19" s="82">
        <f t="shared" si="7"/>
        <v>0</v>
      </c>
      <c r="F19" s="83">
        <f t="shared" si="8"/>
        <v>0</v>
      </c>
      <c r="G19" s="83">
        <f t="shared" si="9"/>
        <v>0</v>
      </c>
      <c r="H19" s="83">
        <f>J19+O19</f>
        <v>30</v>
      </c>
      <c r="I19" s="84">
        <f t="shared" si="11"/>
        <v>30</v>
      </c>
      <c r="J19" s="84">
        <f t="shared" si="12"/>
        <v>30</v>
      </c>
      <c r="K19" s="85">
        <v>0</v>
      </c>
      <c r="L19" s="85">
        <v>0</v>
      </c>
      <c r="M19" s="85">
        <f>320-290</f>
        <v>30</v>
      </c>
      <c r="N19" s="128">
        <f t="shared" si="13"/>
        <v>0</v>
      </c>
      <c r="O19" s="128">
        <f t="shared" si="14"/>
        <v>0</v>
      </c>
      <c r="P19" s="82">
        <v>0</v>
      </c>
      <c r="Q19" s="82">
        <v>0</v>
      </c>
      <c r="R19" s="82">
        <v>0</v>
      </c>
      <c r="S19" s="81">
        <f t="shared" si="4"/>
        <v>0</v>
      </c>
      <c r="T19" s="82">
        <v>0</v>
      </c>
      <c r="U19" s="82">
        <v>0</v>
      </c>
      <c r="V19" s="82">
        <v>0</v>
      </c>
      <c r="W19" s="81">
        <f t="shared" si="5"/>
        <v>0</v>
      </c>
      <c r="X19" s="82">
        <v>0</v>
      </c>
      <c r="Y19" s="82">
        <v>0</v>
      </c>
      <c r="Z19" s="82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36.75" customHeight="1">
      <c r="A20" s="18" t="s">
        <v>134</v>
      </c>
      <c r="B20" s="116" t="s">
        <v>133</v>
      </c>
      <c r="C20" s="80" t="s">
        <v>52</v>
      </c>
      <c r="D20" s="81">
        <f>SUM(E20:H20)</f>
        <v>394.54273</v>
      </c>
      <c r="E20" s="82">
        <f aca="true" t="shared" si="15" ref="E20:G22">T20</f>
        <v>0</v>
      </c>
      <c r="F20" s="83">
        <f t="shared" si="15"/>
        <v>0</v>
      </c>
      <c r="G20" s="83">
        <f t="shared" si="15"/>
        <v>0</v>
      </c>
      <c r="H20" s="83">
        <f>J20+O20</f>
        <v>394.54273</v>
      </c>
      <c r="I20" s="84">
        <f>J20</f>
        <v>0</v>
      </c>
      <c r="J20" s="84">
        <f>SUM(K20:M20)</f>
        <v>0</v>
      </c>
      <c r="K20" s="85">
        <v>0</v>
      </c>
      <c r="L20" s="85">
        <v>0</v>
      </c>
      <c r="M20" s="85">
        <v>0</v>
      </c>
      <c r="N20" s="128">
        <f>O20</f>
        <v>394.54273</v>
      </c>
      <c r="O20" s="128">
        <f>SUM(P20:R20)</f>
        <v>394.54273</v>
      </c>
      <c r="P20" s="82">
        <v>0</v>
      </c>
      <c r="Q20" s="82">
        <v>0</v>
      </c>
      <c r="R20" s="82">
        <v>394.54273</v>
      </c>
      <c r="S20" s="81">
        <f>T20+U20+V20</f>
        <v>0</v>
      </c>
      <c r="T20" s="82">
        <v>0</v>
      </c>
      <c r="U20" s="82">
        <v>0</v>
      </c>
      <c r="V20" s="82">
        <v>0</v>
      </c>
      <c r="W20" s="81">
        <f>X20+Y20+Z20</f>
        <v>0</v>
      </c>
      <c r="X20" s="82">
        <v>0</v>
      </c>
      <c r="Y20" s="82">
        <v>0</v>
      </c>
      <c r="Z20" s="82">
        <v>0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36.75" customHeight="1">
      <c r="A21" s="18" t="s">
        <v>143</v>
      </c>
      <c r="B21" s="116" t="s">
        <v>144</v>
      </c>
      <c r="C21" s="80" t="s">
        <v>96</v>
      </c>
      <c r="D21" s="81">
        <f>SUM(E21:H21)</f>
        <v>297.22816</v>
      </c>
      <c r="E21" s="82">
        <f t="shared" si="15"/>
        <v>0</v>
      </c>
      <c r="F21" s="83">
        <f t="shared" si="15"/>
        <v>0</v>
      </c>
      <c r="G21" s="83">
        <f t="shared" si="15"/>
        <v>0</v>
      </c>
      <c r="H21" s="83">
        <f>J21+O21</f>
        <v>297.22816</v>
      </c>
      <c r="I21" s="84">
        <f>J21</f>
        <v>0</v>
      </c>
      <c r="J21" s="84">
        <f>SUM(K21:M21)</f>
        <v>0</v>
      </c>
      <c r="K21" s="85">
        <v>0</v>
      </c>
      <c r="L21" s="85">
        <v>0</v>
      </c>
      <c r="M21" s="85">
        <v>0</v>
      </c>
      <c r="N21" s="128">
        <f>O21</f>
        <v>297.22816</v>
      </c>
      <c r="O21" s="128">
        <f>SUM(P21:R21)</f>
        <v>297.22816</v>
      </c>
      <c r="P21" s="82">
        <v>0</v>
      </c>
      <c r="Q21" s="82">
        <v>0</v>
      </c>
      <c r="R21" s="82">
        <f>350-52.77184</f>
        <v>297.22816</v>
      </c>
      <c r="S21" s="81">
        <f>T21+U21+V21</f>
        <v>0</v>
      </c>
      <c r="T21" s="82">
        <v>0</v>
      </c>
      <c r="U21" s="82">
        <v>0</v>
      </c>
      <c r="V21" s="82">
        <v>0</v>
      </c>
      <c r="W21" s="81">
        <f>X21+Y21+Z21</f>
        <v>0</v>
      </c>
      <c r="X21" s="82">
        <v>0</v>
      </c>
      <c r="Y21" s="82">
        <v>0</v>
      </c>
      <c r="Z21" s="82">
        <v>0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26" s="153" customFormat="1" ht="84">
      <c r="A22" s="150" t="s">
        <v>125</v>
      </c>
      <c r="B22" s="151" t="s">
        <v>155</v>
      </c>
      <c r="C22" s="152" t="s">
        <v>52</v>
      </c>
      <c r="D22" s="79">
        <f>SUM(E22:H22)</f>
        <v>463.3654</v>
      </c>
      <c r="E22" s="79">
        <f t="shared" si="15"/>
        <v>0</v>
      </c>
      <c r="F22" s="88">
        <f t="shared" si="15"/>
        <v>0</v>
      </c>
      <c r="G22" s="88">
        <f t="shared" si="15"/>
        <v>0</v>
      </c>
      <c r="H22" s="88">
        <f>J22+O22</f>
        <v>463.3654</v>
      </c>
      <c r="I22" s="79">
        <f>J22</f>
        <v>0</v>
      </c>
      <c r="J22" s="79">
        <f>SUM(K22:M22)</f>
        <v>0</v>
      </c>
      <c r="K22" s="79">
        <v>0</v>
      </c>
      <c r="L22" s="79">
        <v>0</v>
      </c>
      <c r="M22" s="79">
        <v>0</v>
      </c>
      <c r="N22" s="79">
        <f>O22</f>
        <v>463.3654</v>
      </c>
      <c r="O22" s="79">
        <f>SUM(P22:R22)</f>
        <v>463.3654</v>
      </c>
      <c r="P22" s="79">
        <v>0</v>
      </c>
      <c r="Q22" s="79">
        <v>0</v>
      </c>
      <c r="R22" s="79">
        <v>463.3654</v>
      </c>
      <c r="S22" s="79">
        <f>T22+U22+V22</f>
        <v>0</v>
      </c>
      <c r="T22" s="79">
        <v>0</v>
      </c>
      <c r="U22" s="79">
        <v>0</v>
      </c>
      <c r="V22" s="79">
        <v>0</v>
      </c>
      <c r="W22" s="79">
        <f>X22+Y22+Z22</f>
        <v>0</v>
      </c>
      <c r="X22" s="79">
        <v>0</v>
      </c>
      <c r="Y22" s="79">
        <v>0</v>
      </c>
      <c r="Z22" s="79">
        <v>0</v>
      </c>
    </row>
    <row r="23" spans="1:26" s="3" customFormat="1" ht="72">
      <c r="A23" s="137" t="s">
        <v>153</v>
      </c>
      <c r="B23" s="149" t="s">
        <v>154</v>
      </c>
      <c r="C23" s="145" t="s">
        <v>52</v>
      </c>
      <c r="D23" s="84">
        <f>SUM(E23:H23)</f>
        <v>463.3654</v>
      </c>
      <c r="E23" s="85">
        <f>T23</f>
        <v>0</v>
      </c>
      <c r="F23" s="146">
        <f>U23</f>
        <v>0</v>
      </c>
      <c r="G23" s="146">
        <f>V23</f>
        <v>0</v>
      </c>
      <c r="H23" s="146">
        <f>J23+O23</f>
        <v>463.3654</v>
      </c>
      <c r="I23" s="84">
        <f>J23</f>
        <v>0</v>
      </c>
      <c r="J23" s="84">
        <f>SUM(K23:M23)</f>
        <v>0</v>
      </c>
      <c r="K23" s="85">
        <v>0</v>
      </c>
      <c r="L23" s="85">
        <v>0</v>
      </c>
      <c r="M23" s="85">
        <v>0</v>
      </c>
      <c r="N23" s="84">
        <f>O23</f>
        <v>463.3654</v>
      </c>
      <c r="O23" s="84">
        <f>SUM(P23:R23)</f>
        <v>463.3654</v>
      </c>
      <c r="P23" s="85">
        <v>0</v>
      </c>
      <c r="Q23" s="85">
        <v>0</v>
      </c>
      <c r="R23" s="85">
        <v>463.3654</v>
      </c>
      <c r="S23" s="84">
        <f>T23+U23+V23</f>
        <v>0</v>
      </c>
      <c r="T23" s="85">
        <v>0</v>
      </c>
      <c r="U23" s="85">
        <v>0</v>
      </c>
      <c r="V23" s="85">
        <v>0</v>
      </c>
      <c r="W23" s="84">
        <f>X23+Y23+Z23</f>
        <v>0</v>
      </c>
      <c r="X23" s="85">
        <v>0</v>
      </c>
      <c r="Y23" s="85">
        <v>0</v>
      </c>
      <c r="Z23" s="85">
        <v>0</v>
      </c>
    </row>
    <row r="24" spans="1:61" ht="55.5" customHeight="1">
      <c r="A24" s="24"/>
      <c r="B24" s="98" t="s">
        <v>116</v>
      </c>
      <c r="C24" s="25"/>
      <c r="D24" s="76">
        <f>D25+D54</f>
        <v>33283.53726</v>
      </c>
      <c r="E24" s="76">
        <f aca="true" t="shared" si="16" ref="E24:Z24">E25+E54</f>
        <v>0</v>
      </c>
      <c r="F24" s="76">
        <f t="shared" si="16"/>
        <v>0</v>
      </c>
      <c r="G24" s="76">
        <f t="shared" si="16"/>
        <v>0</v>
      </c>
      <c r="H24" s="76">
        <f t="shared" si="16"/>
        <v>33283.53726</v>
      </c>
      <c r="I24" s="76">
        <f t="shared" si="16"/>
        <v>6410.539100000001</v>
      </c>
      <c r="J24" s="76">
        <f t="shared" si="16"/>
        <v>6410.539100000001</v>
      </c>
      <c r="K24" s="76">
        <f t="shared" si="16"/>
        <v>4260.27857</v>
      </c>
      <c r="L24" s="76">
        <f t="shared" si="16"/>
        <v>629.59209</v>
      </c>
      <c r="M24" s="76">
        <f t="shared" si="16"/>
        <v>1520.6684400000001</v>
      </c>
      <c r="N24" s="76">
        <f>N25+N54</f>
        <v>26872.99816</v>
      </c>
      <c r="O24" s="76">
        <f>O25+O54</f>
        <v>26872.99816</v>
      </c>
      <c r="P24" s="76">
        <f t="shared" si="16"/>
        <v>0</v>
      </c>
      <c r="Q24" s="76">
        <f t="shared" si="16"/>
        <v>25194.214999999997</v>
      </c>
      <c r="R24" s="76">
        <f>R25+R54</f>
        <v>1678.78316</v>
      </c>
      <c r="S24" s="76">
        <f t="shared" si="16"/>
        <v>0</v>
      </c>
      <c r="T24" s="76">
        <f t="shared" si="16"/>
        <v>0</v>
      </c>
      <c r="U24" s="76">
        <f t="shared" si="16"/>
        <v>0</v>
      </c>
      <c r="V24" s="76">
        <f t="shared" si="16"/>
        <v>0</v>
      </c>
      <c r="W24" s="76">
        <f t="shared" si="16"/>
        <v>0</v>
      </c>
      <c r="X24" s="76">
        <f t="shared" si="16"/>
        <v>0</v>
      </c>
      <c r="Y24" s="76">
        <f t="shared" si="16"/>
        <v>0</v>
      </c>
      <c r="Z24" s="76">
        <f t="shared" si="16"/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8" customFormat="1" ht="23.25" customHeight="1">
      <c r="A25" s="26" t="s">
        <v>8</v>
      </c>
      <c r="B25" s="102" t="s">
        <v>68</v>
      </c>
      <c r="C25" s="87"/>
      <c r="D25" s="88">
        <f>SUM(D36)+D46+D47+D48+D49+D50+D53</f>
        <v>28810.244759999998</v>
      </c>
      <c r="E25" s="88">
        <f>SUM(E36)+E46+E47+E48+E49+E50+E53</f>
        <v>0</v>
      </c>
      <c r="F25" s="88">
        <f>SUM(F36)+F46+F47+F48+F53</f>
        <v>0</v>
      </c>
      <c r="G25" s="88">
        <f>SUM(G36)+G46+G47+G48+G53</f>
        <v>0</v>
      </c>
      <c r="H25" s="88">
        <f>SUM(H36)+H46+H47+H48+H49+H50+H53</f>
        <v>28810.244759999998</v>
      </c>
      <c r="I25" s="88">
        <f>SUM(I36:I48)</f>
        <v>1937.2466000000002</v>
      </c>
      <c r="J25" s="88">
        <f>SUM(J36:J48)</f>
        <v>1937.2466000000002</v>
      </c>
      <c r="K25" s="88">
        <f>SUM(K36:K48)</f>
        <v>0</v>
      </c>
      <c r="L25" s="88">
        <f>SUM(L36:L48)</f>
        <v>629.59209</v>
      </c>
      <c r="M25" s="88">
        <f>SUM(M36:M48)</f>
        <v>1307.65451</v>
      </c>
      <c r="N25" s="88">
        <f>N36+N46+N47+N48+N49+N50+N53</f>
        <v>26872.99816</v>
      </c>
      <c r="O25" s="88">
        <f>O36+O46+O47+O48+O49+O50+O53</f>
        <v>26872.99816</v>
      </c>
      <c r="P25" s="88">
        <f>P36+P46+P47+P48+P49</f>
        <v>0</v>
      </c>
      <c r="Q25" s="88">
        <f>Q36+Q46+Q47+Q48+Q49+Q53</f>
        <v>25194.214999999997</v>
      </c>
      <c r="R25" s="88">
        <f>R36+R46+R47+R48+R49+R50+R53</f>
        <v>1678.78316</v>
      </c>
      <c r="S25" s="88">
        <f aca="true" t="shared" si="17" ref="S25:Y25">SUM(S36:S48)</f>
        <v>0</v>
      </c>
      <c r="T25" s="88">
        <f t="shared" si="17"/>
        <v>0</v>
      </c>
      <c r="U25" s="88">
        <f t="shared" si="17"/>
        <v>0</v>
      </c>
      <c r="V25" s="88">
        <f t="shared" si="17"/>
        <v>0</v>
      </c>
      <c r="W25" s="88">
        <f t="shared" si="17"/>
        <v>0</v>
      </c>
      <c r="X25" s="88">
        <f t="shared" si="17"/>
        <v>0</v>
      </c>
      <c r="Y25" s="88">
        <f t="shared" si="17"/>
        <v>0</v>
      </c>
      <c r="Z25" s="88">
        <f>SUM(Z36:Z48)</f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0.75" customHeight="1" hidden="1">
      <c r="A26" s="10"/>
      <c r="B26" s="117" t="s">
        <v>15</v>
      </c>
      <c r="C26" s="86"/>
      <c r="D26" s="81"/>
      <c r="E26" s="81"/>
      <c r="F26" s="81"/>
      <c r="G26" s="81"/>
      <c r="H26" s="81"/>
      <c r="I26" s="84"/>
      <c r="J26" s="84"/>
      <c r="K26" s="85"/>
      <c r="L26" s="85"/>
      <c r="M26" s="85"/>
      <c r="N26" s="81"/>
      <c r="O26" s="81"/>
      <c r="P26" s="82"/>
      <c r="Q26" s="82"/>
      <c r="R26" s="82"/>
      <c r="S26" s="81"/>
      <c r="T26" s="82"/>
      <c r="U26" s="82"/>
      <c r="V26" s="82"/>
      <c r="W26" s="81"/>
      <c r="X26" s="82"/>
      <c r="Y26" s="82"/>
      <c r="Z26" s="8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55.5" customHeight="1" hidden="1">
      <c r="A27" s="10"/>
      <c r="B27" s="118" t="s">
        <v>16</v>
      </c>
      <c r="C27" s="86"/>
      <c r="D27" s="81"/>
      <c r="E27" s="81"/>
      <c r="F27" s="81"/>
      <c r="G27" s="81"/>
      <c r="H27" s="81"/>
      <c r="I27" s="84"/>
      <c r="J27" s="84"/>
      <c r="K27" s="85"/>
      <c r="L27" s="85"/>
      <c r="M27" s="85"/>
      <c r="N27" s="81"/>
      <c r="O27" s="81"/>
      <c r="P27" s="82"/>
      <c r="Q27" s="82"/>
      <c r="R27" s="82"/>
      <c r="S27" s="81"/>
      <c r="T27" s="82"/>
      <c r="U27" s="82"/>
      <c r="V27" s="82"/>
      <c r="W27" s="81"/>
      <c r="X27" s="82"/>
      <c r="Y27" s="82"/>
      <c r="Z27" s="8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30.5" customHeight="1" hidden="1">
      <c r="A28" s="10"/>
      <c r="B28" s="117" t="s">
        <v>17</v>
      </c>
      <c r="C28" s="86"/>
      <c r="D28" s="81"/>
      <c r="E28" s="81"/>
      <c r="F28" s="81"/>
      <c r="G28" s="81"/>
      <c r="H28" s="81"/>
      <c r="I28" s="84"/>
      <c r="J28" s="84"/>
      <c r="K28" s="85"/>
      <c r="L28" s="85"/>
      <c r="M28" s="85"/>
      <c r="N28" s="81"/>
      <c r="O28" s="81"/>
      <c r="P28" s="82"/>
      <c r="Q28" s="82"/>
      <c r="R28" s="82"/>
      <c r="S28" s="81"/>
      <c r="T28" s="82"/>
      <c r="U28" s="82"/>
      <c r="V28" s="82"/>
      <c r="W28" s="81"/>
      <c r="X28" s="82"/>
      <c r="Y28" s="82"/>
      <c r="Z28" s="8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43.5" customHeight="1" hidden="1">
      <c r="A29" s="10"/>
      <c r="B29" s="105" t="s">
        <v>18</v>
      </c>
      <c r="C29" s="86"/>
      <c r="D29" s="81"/>
      <c r="E29" s="81"/>
      <c r="F29" s="81"/>
      <c r="G29" s="81"/>
      <c r="H29" s="81"/>
      <c r="I29" s="84"/>
      <c r="J29" s="84"/>
      <c r="K29" s="85"/>
      <c r="L29" s="85"/>
      <c r="M29" s="85"/>
      <c r="N29" s="81"/>
      <c r="O29" s="81"/>
      <c r="P29" s="82"/>
      <c r="Q29" s="82"/>
      <c r="R29" s="82"/>
      <c r="S29" s="81"/>
      <c r="T29" s="82"/>
      <c r="U29" s="82"/>
      <c r="V29" s="82"/>
      <c r="W29" s="81"/>
      <c r="X29" s="82"/>
      <c r="Y29" s="82"/>
      <c r="Z29" s="8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39" customHeight="1" hidden="1">
      <c r="A30" s="21"/>
      <c r="B30" s="105" t="s">
        <v>19</v>
      </c>
      <c r="C30" s="86"/>
      <c r="D30" s="81"/>
      <c r="E30" s="81"/>
      <c r="F30" s="81"/>
      <c r="G30" s="81"/>
      <c r="H30" s="81"/>
      <c r="I30" s="84"/>
      <c r="J30" s="84"/>
      <c r="K30" s="85"/>
      <c r="L30" s="85"/>
      <c r="M30" s="85"/>
      <c r="N30" s="81"/>
      <c r="O30" s="81"/>
      <c r="P30" s="82"/>
      <c r="Q30" s="82"/>
      <c r="R30" s="82"/>
      <c r="S30" s="81"/>
      <c r="T30" s="82"/>
      <c r="U30" s="82"/>
      <c r="V30" s="82"/>
      <c r="W30" s="81"/>
      <c r="X30" s="82"/>
      <c r="Y30" s="82"/>
      <c r="Z30" s="8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46.5" customHeight="1" hidden="1">
      <c r="A31" s="10"/>
      <c r="B31" s="105" t="s">
        <v>20</v>
      </c>
      <c r="C31" s="86"/>
      <c r="D31" s="81"/>
      <c r="E31" s="81"/>
      <c r="F31" s="81"/>
      <c r="G31" s="81"/>
      <c r="H31" s="81"/>
      <c r="I31" s="84"/>
      <c r="J31" s="84"/>
      <c r="K31" s="85"/>
      <c r="L31" s="85"/>
      <c r="M31" s="85"/>
      <c r="N31" s="81"/>
      <c r="O31" s="81"/>
      <c r="P31" s="82"/>
      <c r="Q31" s="82"/>
      <c r="R31" s="82"/>
      <c r="S31" s="81"/>
      <c r="T31" s="82"/>
      <c r="U31" s="82"/>
      <c r="V31" s="82"/>
      <c r="W31" s="81"/>
      <c r="X31" s="82"/>
      <c r="Y31" s="82"/>
      <c r="Z31" s="8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84" customHeight="1" hidden="1">
      <c r="A32" s="10"/>
      <c r="B32" s="105" t="s">
        <v>27</v>
      </c>
      <c r="C32" s="86"/>
      <c r="D32" s="81"/>
      <c r="E32" s="81"/>
      <c r="F32" s="81"/>
      <c r="G32" s="81"/>
      <c r="H32" s="81"/>
      <c r="I32" s="84"/>
      <c r="J32" s="84"/>
      <c r="K32" s="85"/>
      <c r="L32" s="85"/>
      <c r="M32" s="85"/>
      <c r="N32" s="81"/>
      <c r="O32" s="81"/>
      <c r="P32" s="82"/>
      <c r="Q32" s="82"/>
      <c r="R32" s="82"/>
      <c r="S32" s="81"/>
      <c r="T32" s="82"/>
      <c r="U32" s="82"/>
      <c r="V32" s="82"/>
      <c r="W32" s="81"/>
      <c r="X32" s="82"/>
      <c r="Y32" s="82"/>
      <c r="Z32" s="8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48.75" customHeight="1" hidden="1">
      <c r="A33" s="10"/>
      <c r="B33" s="105" t="s">
        <v>21</v>
      </c>
      <c r="C33" s="86"/>
      <c r="D33" s="81"/>
      <c r="E33" s="81"/>
      <c r="F33" s="81"/>
      <c r="G33" s="81"/>
      <c r="H33" s="81"/>
      <c r="I33" s="84"/>
      <c r="J33" s="84"/>
      <c r="K33" s="85"/>
      <c r="L33" s="85"/>
      <c r="M33" s="85"/>
      <c r="N33" s="81"/>
      <c r="O33" s="81"/>
      <c r="P33" s="82"/>
      <c r="Q33" s="82"/>
      <c r="R33" s="82"/>
      <c r="S33" s="81"/>
      <c r="T33" s="82"/>
      <c r="U33" s="82"/>
      <c r="V33" s="82"/>
      <c r="W33" s="81"/>
      <c r="X33" s="82"/>
      <c r="Y33" s="82"/>
      <c r="Z33" s="8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24" customHeight="1" hidden="1">
      <c r="A34" s="11"/>
      <c r="B34" s="105" t="s">
        <v>5</v>
      </c>
      <c r="C34" s="86"/>
      <c r="D34" s="81"/>
      <c r="E34" s="81"/>
      <c r="F34" s="81"/>
      <c r="G34" s="81"/>
      <c r="H34" s="81"/>
      <c r="I34" s="84"/>
      <c r="J34" s="84"/>
      <c r="K34" s="85"/>
      <c r="L34" s="85"/>
      <c r="M34" s="85"/>
      <c r="N34" s="81"/>
      <c r="O34" s="81"/>
      <c r="P34" s="82"/>
      <c r="Q34" s="82"/>
      <c r="R34" s="82"/>
      <c r="S34" s="81"/>
      <c r="T34" s="82"/>
      <c r="U34" s="82"/>
      <c r="V34" s="82"/>
      <c r="W34" s="81"/>
      <c r="X34" s="82"/>
      <c r="Y34" s="82"/>
      <c r="Z34" s="8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24" customHeight="1" hidden="1">
      <c r="A35" s="11"/>
      <c r="B35" s="105" t="s">
        <v>6</v>
      </c>
      <c r="C35" s="86"/>
      <c r="D35" s="81"/>
      <c r="E35" s="81"/>
      <c r="F35" s="81"/>
      <c r="G35" s="81"/>
      <c r="H35" s="81"/>
      <c r="I35" s="84"/>
      <c r="J35" s="84"/>
      <c r="K35" s="85"/>
      <c r="L35" s="85"/>
      <c r="M35" s="85"/>
      <c r="N35" s="81"/>
      <c r="O35" s="81"/>
      <c r="P35" s="82"/>
      <c r="Q35" s="82"/>
      <c r="R35" s="82"/>
      <c r="S35" s="81"/>
      <c r="T35" s="82"/>
      <c r="U35" s="82"/>
      <c r="V35" s="82"/>
      <c r="W35" s="81"/>
      <c r="X35" s="82"/>
      <c r="Y35" s="82"/>
      <c r="Z35" s="8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48">
      <c r="A36" s="27" t="s">
        <v>9</v>
      </c>
      <c r="B36" s="115" t="s">
        <v>58</v>
      </c>
      <c r="C36" s="80" t="s">
        <v>52</v>
      </c>
      <c r="D36" s="81">
        <f>SUM(E36:H36)</f>
        <v>27182.954919999996</v>
      </c>
      <c r="E36" s="82">
        <f>T36</f>
        <v>0</v>
      </c>
      <c r="F36" s="83">
        <f>U36</f>
        <v>0</v>
      </c>
      <c r="G36" s="83">
        <f>V36</f>
        <v>0</v>
      </c>
      <c r="H36" s="83">
        <f>J36+O36</f>
        <v>27182.954919999996</v>
      </c>
      <c r="I36" s="84">
        <f>J36</f>
        <v>662.7286</v>
      </c>
      <c r="J36" s="84">
        <f>SUM(K36:M36)</f>
        <v>662.7286</v>
      </c>
      <c r="K36" s="85">
        <v>0</v>
      </c>
      <c r="L36" s="85">
        <f>637.29126-7.69917</f>
        <v>629.59209</v>
      </c>
      <c r="M36" s="85">
        <f>33.54173-0.40522</f>
        <v>33.13651</v>
      </c>
      <c r="N36" s="81">
        <f>O36</f>
        <v>26520.226319999998</v>
      </c>
      <c r="O36" s="81">
        <f>SUM(P36:R36)</f>
        <v>26520.226319999998</v>
      </c>
      <c r="P36" s="82">
        <v>0</v>
      </c>
      <c r="Q36" s="82">
        <f>Q37+Q38+Q39+Q40+Q42+Q43+Q44+Q45</f>
        <v>25194.214999999997</v>
      </c>
      <c r="R36" s="82">
        <f>R37+R38+R39+R40+R42+R43+R44+R45</f>
        <v>1326.01132</v>
      </c>
      <c r="S36" s="81">
        <f aca="true" t="shared" si="18" ref="S36:S53">T36+U36+V36</f>
        <v>0</v>
      </c>
      <c r="T36" s="82">
        <v>0</v>
      </c>
      <c r="U36" s="82">
        <v>0</v>
      </c>
      <c r="V36" s="82">
        <v>0</v>
      </c>
      <c r="W36" s="81">
        <f aca="true" t="shared" si="19" ref="W36:W51">X36+Y36+Z36</f>
        <v>0</v>
      </c>
      <c r="X36" s="82">
        <v>0</v>
      </c>
      <c r="Y36" s="82">
        <v>0</v>
      </c>
      <c r="Z36" s="82"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26" s="3" customFormat="1" ht="24">
      <c r="A37" s="144"/>
      <c r="B37" s="138" t="s">
        <v>102</v>
      </c>
      <c r="C37" s="145" t="s">
        <v>52</v>
      </c>
      <c r="D37" s="84">
        <f aca="true" t="shared" si="20" ref="D37:D53">SUM(E37:H37)</f>
        <v>2734.22495</v>
      </c>
      <c r="E37" s="85">
        <f aca="true" t="shared" si="21" ref="E37:E53">T37</f>
        <v>0</v>
      </c>
      <c r="F37" s="146">
        <f aca="true" t="shared" si="22" ref="F37:F53">U37</f>
        <v>0</v>
      </c>
      <c r="G37" s="146">
        <f aca="true" t="shared" si="23" ref="G37:G53">V37</f>
        <v>0</v>
      </c>
      <c r="H37" s="146">
        <f aca="true" t="shared" si="24" ref="H37:H53">J37+O37</f>
        <v>2734.22495</v>
      </c>
      <c r="I37" s="84">
        <f aca="true" t="shared" si="25" ref="I37:I47">J37</f>
        <v>0</v>
      </c>
      <c r="J37" s="84">
        <f aca="true" t="shared" si="26" ref="J37:J53">SUM(K37:M37)</f>
        <v>0</v>
      </c>
      <c r="K37" s="85">
        <v>0</v>
      </c>
      <c r="L37" s="85">
        <v>0</v>
      </c>
      <c r="M37" s="85">
        <v>0</v>
      </c>
      <c r="N37" s="81">
        <f aca="true" t="shared" si="27" ref="N37:N53">O37</f>
        <v>2734.22495</v>
      </c>
      <c r="O37" s="84">
        <f>SUM(P37:R37)</f>
        <v>2734.22495</v>
      </c>
      <c r="P37" s="85">
        <v>0</v>
      </c>
      <c r="Q37" s="85">
        <f>3440.42-842.9063</f>
        <v>2597.5137</v>
      </c>
      <c r="R37" s="85">
        <f>181.07-44.35875</f>
        <v>136.71125</v>
      </c>
      <c r="S37" s="84">
        <f t="shared" si="18"/>
        <v>0</v>
      </c>
      <c r="T37" s="85">
        <v>0</v>
      </c>
      <c r="U37" s="85">
        <v>0</v>
      </c>
      <c r="V37" s="85">
        <v>0</v>
      </c>
      <c r="W37" s="84">
        <f t="shared" si="19"/>
        <v>0</v>
      </c>
      <c r="X37" s="85">
        <v>0</v>
      </c>
      <c r="Y37" s="85">
        <v>0</v>
      </c>
      <c r="Z37" s="85">
        <v>0</v>
      </c>
    </row>
    <row r="38" spans="1:26" s="3" customFormat="1" ht="24">
      <c r="A38" s="144"/>
      <c r="B38" s="114" t="s">
        <v>103</v>
      </c>
      <c r="C38" s="145" t="s">
        <v>52</v>
      </c>
      <c r="D38" s="84">
        <f t="shared" si="20"/>
        <v>7716.69</v>
      </c>
      <c r="E38" s="85">
        <f t="shared" si="21"/>
        <v>0</v>
      </c>
      <c r="F38" s="146">
        <f t="shared" si="22"/>
        <v>0</v>
      </c>
      <c r="G38" s="146">
        <f t="shared" si="23"/>
        <v>0</v>
      </c>
      <c r="H38" s="146">
        <f t="shared" si="24"/>
        <v>7716.69</v>
      </c>
      <c r="I38" s="84">
        <f t="shared" si="25"/>
        <v>0</v>
      </c>
      <c r="J38" s="84">
        <f t="shared" si="26"/>
        <v>0</v>
      </c>
      <c r="K38" s="85">
        <v>0</v>
      </c>
      <c r="L38" s="85">
        <v>0</v>
      </c>
      <c r="M38" s="85">
        <v>0</v>
      </c>
      <c r="N38" s="81">
        <f t="shared" si="27"/>
        <v>7716.69</v>
      </c>
      <c r="O38" s="84">
        <f aca="true" t="shared" si="28" ref="O38:O53">SUM(P38:R38)</f>
        <v>7716.69</v>
      </c>
      <c r="P38" s="85">
        <v>0</v>
      </c>
      <c r="Q38" s="85">
        <f>7330.86-0.0045</f>
        <v>7330.8555</v>
      </c>
      <c r="R38" s="136">
        <f>385.83+0.0045</f>
        <v>385.8345</v>
      </c>
      <c r="S38" s="84">
        <f t="shared" si="18"/>
        <v>0</v>
      </c>
      <c r="T38" s="85">
        <v>0</v>
      </c>
      <c r="U38" s="85">
        <v>0</v>
      </c>
      <c r="V38" s="85">
        <v>0</v>
      </c>
      <c r="W38" s="84">
        <f t="shared" si="19"/>
        <v>0</v>
      </c>
      <c r="X38" s="85">
        <v>0</v>
      </c>
      <c r="Y38" s="85">
        <v>0</v>
      </c>
      <c r="Z38" s="85">
        <v>0</v>
      </c>
    </row>
    <row r="39" spans="1:26" s="3" customFormat="1" ht="24">
      <c r="A39" s="144"/>
      <c r="B39" s="114" t="s">
        <v>137</v>
      </c>
      <c r="C39" s="145" t="s">
        <v>52</v>
      </c>
      <c r="D39" s="84">
        <f t="shared" si="20"/>
        <v>6874.23219</v>
      </c>
      <c r="E39" s="85">
        <f t="shared" si="21"/>
        <v>0</v>
      </c>
      <c r="F39" s="146">
        <f t="shared" si="22"/>
        <v>0</v>
      </c>
      <c r="G39" s="146">
        <f t="shared" si="23"/>
        <v>0</v>
      </c>
      <c r="H39" s="146">
        <f t="shared" si="24"/>
        <v>6874.23219</v>
      </c>
      <c r="I39" s="84">
        <f t="shared" si="25"/>
        <v>0</v>
      </c>
      <c r="J39" s="84">
        <f t="shared" si="26"/>
        <v>0</v>
      </c>
      <c r="K39" s="85">
        <v>0</v>
      </c>
      <c r="L39" s="85">
        <v>0</v>
      </c>
      <c r="M39" s="85">
        <v>0</v>
      </c>
      <c r="N39" s="81">
        <f t="shared" si="27"/>
        <v>6874.23219</v>
      </c>
      <c r="O39" s="84">
        <f t="shared" si="28"/>
        <v>6874.23219</v>
      </c>
      <c r="P39" s="85">
        <v>0</v>
      </c>
      <c r="Q39" s="85">
        <f>7379.11-848.58942</f>
        <v>6530.520579999999</v>
      </c>
      <c r="R39" s="136">
        <f>388.37+0.014-44.67239</f>
        <v>343.71161</v>
      </c>
      <c r="S39" s="84">
        <f t="shared" si="18"/>
        <v>0</v>
      </c>
      <c r="T39" s="85">
        <v>0</v>
      </c>
      <c r="U39" s="85">
        <v>0</v>
      </c>
      <c r="V39" s="85">
        <v>0</v>
      </c>
      <c r="W39" s="84">
        <f t="shared" si="19"/>
        <v>0</v>
      </c>
      <c r="X39" s="85">
        <v>0</v>
      </c>
      <c r="Y39" s="85">
        <v>0</v>
      </c>
      <c r="Z39" s="85">
        <v>0</v>
      </c>
    </row>
    <row r="40" spans="1:27" s="3" customFormat="1" ht="36">
      <c r="A40" s="144"/>
      <c r="B40" s="114" t="s">
        <v>139</v>
      </c>
      <c r="C40" s="145" t="s">
        <v>52</v>
      </c>
      <c r="D40" s="84">
        <f aca="true" t="shared" si="29" ref="D40:D45">SUM(E40:H40)</f>
        <v>3779.29662</v>
      </c>
      <c r="E40" s="85">
        <f t="shared" si="21"/>
        <v>0</v>
      </c>
      <c r="F40" s="146">
        <f t="shared" si="22"/>
        <v>0</v>
      </c>
      <c r="G40" s="146">
        <f t="shared" si="23"/>
        <v>0</v>
      </c>
      <c r="H40" s="146">
        <f t="shared" si="24"/>
        <v>3779.29662</v>
      </c>
      <c r="I40" s="84">
        <f t="shared" si="25"/>
        <v>0</v>
      </c>
      <c r="J40" s="84">
        <f t="shared" si="26"/>
        <v>0</v>
      </c>
      <c r="K40" s="85">
        <v>0</v>
      </c>
      <c r="L40" s="85">
        <v>0</v>
      </c>
      <c r="M40" s="85">
        <v>0</v>
      </c>
      <c r="N40" s="81">
        <f>O40</f>
        <v>3779.29662</v>
      </c>
      <c r="O40" s="84">
        <f>SUM(P40:R40)</f>
        <v>3779.29662</v>
      </c>
      <c r="P40" s="85">
        <v>0</v>
      </c>
      <c r="Q40" s="85">
        <f>3759.51-169.17821</f>
        <v>3590.33179</v>
      </c>
      <c r="R40" s="136">
        <f>197.86863-8.9038</f>
        <v>188.96483</v>
      </c>
      <c r="S40" s="84">
        <f t="shared" si="18"/>
        <v>0</v>
      </c>
      <c r="T40" s="85">
        <v>0</v>
      </c>
      <c r="U40" s="85">
        <v>0</v>
      </c>
      <c r="V40" s="85">
        <v>0</v>
      </c>
      <c r="W40" s="84">
        <f t="shared" si="19"/>
        <v>0</v>
      </c>
      <c r="X40" s="85">
        <v>0</v>
      </c>
      <c r="Y40" s="85">
        <v>0</v>
      </c>
      <c r="Z40" s="85">
        <v>0</v>
      </c>
      <c r="AA40" s="3" t="s">
        <v>125</v>
      </c>
    </row>
    <row r="41" spans="1:26" s="142" customFormat="1" ht="22.5" hidden="1">
      <c r="A41" s="141"/>
      <c r="B41" s="143"/>
      <c r="C41" s="145" t="s">
        <v>52</v>
      </c>
      <c r="D41" s="84">
        <f t="shared" si="29"/>
        <v>3779.29662</v>
      </c>
      <c r="E41" s="85">
        <f t="shared" si="21"/>
        <v>0</v>
      </c>
      <c r="F41" s="146">
        <f t="shared" si="22"/>
        <v>0</v>
      </c>
      <c r="G41" s="146">
        <f t="shared" si="23"/>
        <v>0</v>
      </c>
      <c r="H41" s="146">
        <f t="shared" si="24"/>
        <v>3779.29662</v>
      </c>
      <c r="I41" s="84">
        <f t="shared" si="25"/>
        <v>0</v>
      </c>
      <c r="J41" s="84">
        <f t="shared" si="26"/>
        <v>0</v>
      </c>
      <c r="K41" s="85">
        <v>0</v>
      </c>
      <c r="L41" s="85">
        <v>0</v>
      </c>
      <c r="M41" s="85">
        <v>0</v>
      </c>
      <c r="N41" s="81">
        <f t="shared" si="27"/>
        <v>3779.29662</v>
      </c>
      <c r="O41" s="84">
        <f t="shared" si="28"/>
        <v>3779.29662</v>
      </c>
      <c r="P41" s="85">
        <v>0</v>
      </c>
      <c r="Q41" s="85">
        <f>3759.51-169.17821</f>
        <v>3590.33179</v>
      </c>
      <c r="R41" s="136">
        <f>197.86863-8.9038</f>
        <v>188.96483</v>
      </c>
      <c r="S41" s="84">
        <f t="shared" si="18"/>
        <v>0</v>
      </c>
      <c r="T41" s="85">
        <v>0</v>
      </c>
      <c r="U41" s="85">
        <v>0</v>
      </c>
      <c r="V41" s="85">
        <v>0</v>
      </c>
      <c r="W41" s="84">
        <f t="shared" si="19"/>
        <v>0</v>
      </c>
      <c r="X41" s="85">
        <v>0</v>
      </c>
      <c r="Y41" s="85">
        <v>0</v>
      </c>
      <c r="Z41" s="85">
        <v>0</v>
      </c>
    </row>
    <row r="42" spans="1:26" s="3" customFormat="1" ht="72">
      <c r="A42" s="144"/>
      <c r="B42" s="114" t="s">
        <v>141</v>
      </c>
      <c r="C42" s="145" t="s">
        <v>52</v>
      </c>
      <c r="D42" s="84">
        <f t="shared" si="29"/>
        <v>1383.4988700000001</v>
      </c>
      <c r="E42" s="85">
        <f t="shared" si="21"/>
        <v>0</v>
      </c>
      <c r="F42" s="146">
        <f t="shared" si="22"/>
        <v>0</v>
      </c>
      <c r="G42" s="146">
        <f t="shared" si="23"/>
        <v>0</v>
      </c>
      <c r="H42" s="146">
        <f t="shared" si="24"/>
        <v>1383.4988700000001</v>
      </c>
      <c r="I42" s="84">
        <f t="shared" si="25"/>
        <v>0</v>
      </c>
      <c r="J42" s="84">
        <f t="shared" si="26"/>
        <v>0</v>
      </c>
      <c r="K42" s="85">
        <v>0</v>
      </c>
      <c r="L42" s="85">
        <v>0</v>
      </c>
      <c r="M42" s="85">
        <v>0</v>
      </c>
      <c r="N42" s="81">
        <f t="shared" si="27"/>
        <v>1383.4988700000001</v>
      </c>
      <c r="O42" s="84">
        <f>SUM(P42:R42)</f>
        <v>1383.4988700000001</v>
      </c>
      <c r="P42" s="85">
        <v>0</v>
      </c>
      <c r="Q42" s="85">
        <v>1314.32393</v>
      </c>
      <c r="R42" s="136">
        <v>69.17494</v>
      </c>
      <c r="S42" s="84">
        <f t="shared" si="18"/>
        <v>0</v>
      </c>
      <c r="T42" s="85">
        <v>0</v>
      </c>
      <c r="U42" s="85">
        <v>0</v>
      </c>
      <c r="V42" s="85">
        <v>0</v>
      </c>
      <c r="W42" s="84">
        <f t="shared" si="19"/>
        <v>0</v>
      </c>
      <c r="X42" s="85">
        <v>0</v>
      </c>
      <c r="Y42" s="85">
        <v>0</v>
      </c>
      <c r="Z42" s="85">
        <v>0</v>
      </c>
    </row>
    <row r="43" spans="1:26" s="3" customFormat="1" ht="48">
      <c r="A43" s="144"/>
      <c r="B43" s="114" t="s">
        <v>140</v>
      </c>
      <c r="C43" s="145" t="s">
        <v>52</v>
      </c>
      <c r="D43" s="84">
        <f t="shared" si="29"/>
        <v>575.11</v>
      </c>
      <c r="E43" s="85">
        <f t="shared" si="21"/>
        <v>0</v>
      </c>
      <c r="F43" s="146">
        <f t="shared" si="22"/>
        <v>0</v>
      </c>
      <c r="G43" s="146">
        <f t="shared" si="23"/>
        <v>0</v>
      </c>
      <c r="H43" s="146">
        <f t="shared" si="24"/>
        <v>575.11</v>
      </c>
      <c r="I43" s="84">
        <f t="shared" si="25"/>
        <v>0</v>
      </c>
      <c r="J43" s="84">
        <f t="shared" si="26"/>
        <v>0</v>
      </c>
      <c r="K43" s="85">
        <v>0</v>
      </c>
      <c r="L43" s="85">
        <v>0</v>
      </c>
      <c r="M43" s="85">
        <v>0</v>
      </c>
      <c r="N43" s="81">
        <f t="shared" si="27"/>
        <v>575.11</v>
      </c>
      <c r="O43" s="84">
        <f t="shared" si="28"/>
        <v>575.11</v>
      </c>
      <c r="P43" s="85">
        <v>0</v>
      </c>
      <c r="Q43" s="85">
        <v>546.3545</v>
      </c>
      <c r="R43" s="136">
        <v>28.7555</v>
      </c>
      <c r="S43" s="84">
        <f t="shared" si="18"/>
        <v>0</v>
      </c>
      <c r="T43" s="85">
        <v>0</v>
      </c>
      <c r="U43" s="85">
        <v>0</v>
      </c>
      <c r="V43" s="85">
        <v>0</v>
      </c>
      <c r="W43" s="84">
        <f t="shared" si="19"/>
        <v>0</v>
      </c>
      <c r="X43" s="85">
        <v>0</v>
      </c>
      <c r="Y43" s="85">
        <v>0</v>
      </c>
      <c r="Z43" s="85">
        <v>0</v>
      </c>
    </row>
    <row r="44" spans="1:26" s="3" customFormat="1" ht="36">
      <c r="A44" s="144"/>
      <c r="B44" s="114" t="s">
        <v>152</v>
      </c>
      <c r="C44" s="145" t="s">
        <v>52</v>
      </c>
      <c r="D44" s="84">
        <f t="shared" si="29"/>
        <v>1713.3526900000002</v>
      </c>
      <c r="E44" s="85">
        <f t="shared" si="21"/>
        <v>0</v>
      </c>
      <c r="F44" s="146">
        <f t="shared" si="22"/>
        <v>0</v>
      </c>
      <c r="G44" s="146">
        <f t="shared" si="23"/>
        <v>0</v>
      </c>
      <c r="H44" s="146">
        <f t="shared" si="24"/>
        <v>1713.3526900000002</v>
      </c>
      <c r="I44" s="84">
        <f t="shared" si="25"/>
        <v>0</v>
      </c>
      <c r="J44" s="84">
        <f t="shared" si="26"/>
        <v>0</v>
      </c>
      <c r="K44" s="85">
        <v>0</v>
      </c>
      <c r="L44" s="85">
        <v>0</v>
      </c>
      <c r="M44" s="85">
        <v>0</v>
      </c>
      <c r="N44" s="84">
        <f t="shared" si="27"/>
        <v>1713.3526900000002</v>
      </c>
      <c r="O44" s="84">
        <f t="shared" si="28"/>
        <v>1713.3526900000002</v>
      </c>
      <c r="P44" s="85">
        <v>0</v>
      </c>
      <c r="Q44" s="85">
        <v>1627.68505</v>
      </c>
      <c r="R44" s="136">
        <v>85.66764</v>
      </c>
      <c r="S44" s="84">
        <f t="shared" si="18"/>
        <v>0</v>
      </c>
      <c r="T44" s="85">
        <v>0</v>
      </c>
      <c r="U44" s="85">
        <v>0</v>
      </c>
      <c r="V44" s="85">
        <v>0</v>
      </c>
      <c r="W44" s="84">
        <f t="shared" si="19"/>
        <v>0</v>
      </c>
      <c r="X44" s="85">
        <v>0</v>
      </c>
      <c r="Y44" s="85">
        <v>0</v>
      </c>
      <c r="Z44" s="85">
        <v>0</v>
      </c>
    </row>
    <row r="45" spans="1:26" s="3" customFormat="1" ht="48">
      <c r="A45" s="144"/>
      <c r="B45" s="114" t="s">
        <v>150</v>
      </c>
      <c r="C45" s="145" t="s">
        <v>52</v>
      </c>
      <c r="D45" s="84">
        <f t="shared" si="29"/>
        <v>1743.821</v>
      </c>
      <c r="E45" s="85">
        <f t="shared" si="21"/>
        <v>0</v>
      </c>
      <c r="F45" s="146">
        <f t="shared" si="22"/>
        <v>0</v>
      </c>
      <c r="G45" s="146">
        <f t="shared" si="23"/>
        <v>0</v>
      </c>
      <c r="H45" s="146">
        <f t="shared" si="24"/>
        <v>1743.821</v>
      </c>
      <c r="I45" s="84">
        <f t="shared" si="25"/>
        <v>0</v>
      </c>
      <c r="J45" s="84">
        <f t="shared" si="26"/>
        <v>0</v>
      </c>
      <c r="K45" s="85">
        <v>0</v>
      </c>
      <c r="L45" s="85">
        <v>0</v>
      </c>
      <c r="M45" s="85">
        <v>0</v>
      </c>
      <c r="N45" s="84">
        <f t="shared" si="27"/>
        <v>1743.821</v>
      </c>
      <c r="O45" s="84">
        <f t="shared" si="28"/>
        <v>1743.821</v>
      </c>
      <c r="P45" s="85">
        <v>0</v>
      </c>
      <c r="Q45" s="85">
        <v>1656.62995</v>
      </c>
      <c r="R45" s="136">
        <v>87.19105</v>
      </c>
      <c r="S45" s="84">
        <f t="shared" si="18"/>
        <v>0</v>
      </c>
      <c r="T45" s="85">
        <v>0</v>
      </c>
      <c r="U45" s="85">
        <v>0</v>
      </c>
      <c r="V45" s="85">
        <v>0</v>
      </c>
      <c r="W45" s="84">
        <f t="shared" si="19"/>
        <v>0</v>
      </c>
      <c r="X45" s="85">
        <v>0</v>
      </c>
      <c r="Y45" s="85">
        <v>0</v>
      </c>
      <c r="Z45" s="85">
        <v>0</v>
      </c>
    </row>
    <row r="46" spans="1:61" ht="24">
      <c r="A46" s="27" t="s">
        <v>10</v>
      </c>
      <c r="B46" s="115" t="s">
        <v>67</v>
      </c>
      <c r="C46" s="80" t="s">
        <v>52</v>
      </c>
      <c r="D46" s="81">
        <f t="shared" si="20"/>
        <v>1098.863</v>
      </c>
      <c r="E46" s="82">
        <f t="shared" si="21"/>
        <v>0</v>
      </c>
      <c r="F46" s="83">
        <f t="shared" si="22"/>
        <v>0</v>
      </c>
      <c r="G46" s="83">
        <f t="shared" si="23"/>
        <v>0</v>
      </c>
      <c r="H46" s="83">
        <f t="shared" si="24"/>
        <v>1098.863</v>
      </c>
      <c r="I46" s="84">
        <f t="shared" si="25"/>
        <v>1098.863</v>
      </c>
      <c r="J46" s="84">
        <f t="shared" si="26"/>
        <v>1098.863</v>
      </c>
      <c r="K46" s="85">
        <v>0</v>
      </c>
      <c r="L46" s="85">
        <v>0</v>
      </c>
      <c r="M46" s="85">
        <f>1100-1.137</f>
        <v>1098.863</v>
      </c>
      <c r="N46" s="81">
        <f t="shared" si="27"/>
        <v>0</v>
      </c>
      <c r="O46" s="81">
        <f t="shared" si="28"/>
        <v>0</v>
      </c>
      <c r="P46" s="82">
        <v>0</v>
      </c>
      <c r="Q46" s="82">
        <v>0</v>
      </c>
      <c r="R46" s="82">
        <v>0</v>
      </c>
      <c r="S46" s="81">
        <f t="shared" si="18"/>
        <v>0</v>
      </c>
      <c r="T46" s="82">
        <v>0</v>
      </c>
      <c r="U46" s="82">
        <v>0</v>
      </c>
      <c r="V46" s="82">
        <v>0</v>
      </c>
      <c r="W46" s="81">
        <f t="shared" si="19"/>
        <v>0</v>
      </c>
      <c r="X46" s="82">
        <v>0</v>
      </c>
      <c r="Y46" s="82">
        <v>0</v>
      </c>
      <c r="Z46" s="82">
        <v>0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4">
      <c r="A47" s="27" t="s">
        <v>11</v>
      </c>
      <c r="B47" s="115" t="s">
        <v>74</v>
      </c>
      <c r="C47" s="80" t="s">
        <v>52</v>
      </c>
      <c r="D47" s="81">
        <f t="shared" si="20"/>
        <v>120</v>
      </c>
      <c r="E47" s="82">
        <f t="shared" si="21"/>
        <v>0</v>
      </c>
      <c r="F47" s="83">
        <f t="shared" si="22"/>
        <v>0</v>
      </c>
      <c r="G47" s="83">
        <f t="shared" si="23"/>
        <v>0</v>
      </c>
      <c r="H47" s="83">
        <f t="shared" si="24"/>
        <v>120</v>
      </c>
      <c r="I47" s="84">
        <f t="shared" si="25"/>
        <v>120</v>
      </c>
      <c r="J47" s="84">
        <f t="shared" si="26"/>
        <v>120</v>
      </c>
      <c r="K47" s="85">
        <v>0</v>
      </c>
      <c r="L47" s="85">
        <v>0</v>
      </c>
      <c r="M47" s="85">
        <v>120</v>
      </c>
      <c r="N47" s="81">
        <f t="shared" si="27"/>
        <v>0</v>
      </c>
      <c r="O47" s="81">
        <f t="shared" si="28"/>
        <v>0</v>
      </c>
      <c r="P47" s="82">
        <v>0</v>
      </c>
      <c r="Q47" s="82">
        <v>0</v>
      </c>
      <c r="R47" s="82">
        <v>0</v>
      </c>
      <c r="S47" s="81">
        <f t="shared" si="18"/>
        <v>0</v>
      </c>
      <c r="T47" s="82">
        <v>0</v>
      </c>
      <c r="U47" s="82">
        <v>0</v>
      </c>
      <c r="V47" s="82">
        <v>0</v>
      </c>
      <c r="W47" s="81">
        <f t="shared" si="19"/>
        <v>0</v>
      </c>
      <c r="X47" s="82">
        <v>0</v>
      </c>
      <c r="Y47" s="82">
        <v>0</v>
      </c>
      <c r="Z47" s="82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4">
      <c r="A48" s="27" t="s">
        <v>69</v>
      </c>
      <c r="B48" s="115" t="s">
        <v>78</v>
      </c>
      <c r="C48" s="80" t="s">
        <v>52</v>
      </c>
      <c r="D48" s="81">
        <f t="shared" si="20"/>
        <v>55.655</v>
      </c>
      <c r="E48" s="82">
        <f t="shared" si="21"/>
        <v>0</v>
      </c>
      <c r="F48" s="83">
        <f t="shared" si="22"/>
        <v>0</v>
      </c>
      <c r="G48" s="83">
        <f t="shared" si="23"/>
        <v>0</v>
      </c>
      <c r="H48" s="83">
        <f t="shared" si="24"/>
        <v>55.655</v>
      </c>
      <c r="I48" s="84">
        <f aca="true" t="shared" si="30" ref="I48:I53">J48</f>
        <v>55.655</v>
      </c>
      <c r="J48" s="84">
        <f t="shared" si="26"/>
        <v>55.655</v>
      </c>
      <c r="K48" s="85">
        <v>0</v>
      </c>
      <c r="L48" s="85">
        <v>0</v>
      </c>
      <c r="M48" s="85">
        <v>55.655</v>
      </c>
      <c r="N48" s="81">
        <f t="shared" si="27"/>
        <v>0</v>
      </c>
      <c r="O48" s="81">
        <f t="shared" si="28"/>
        <v>0</v>
      </c>
      <c r="P48" s="82">
        <v>0</v>
      </c>
      <c r="Q48" s="82">
        <v>0</v>
      </c>
      <c r="R48" s="82">
        <v>0</v>
      </c>
      <c r="S48" s="81">
        <f t="shared" si="18"/>
        <v>0</v>
      </c>
      <c r="T48" s="82">
        <v>0</v>
      </c>
      <c r="U48" s="82">
        <v>0</v>
      </c>
      <c r="V48" s="82">
        <v>0</v>
      </c>
      <c r="W48" s="81">
        <f>X48+Y48+Z48</f>
        <v>0</v>
      </c>
      <c r="X48" s="82">
        <v>0</v>
      </c>
      <c r="Y48" s="82">
        <v>0</v>
      </c>
      <c r="Z48" s="82"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36">
      <c r="A49" s="27" t="s">
        <v>136</v>
      </c>
      <c r="B49" s="138" t="s">
        <v>138</v>
      </c>
      <c r="C49" s="80" t="s">
        <v>52</v>
      </c>
      <c r="D49" s="81">
        <f t="shared" si="20"/>
        <v>100</v>
      </c>
      <c r="E49" s="82">
        <f t="shared" si="21"/>
        <v>0</v>
      </c>
      <c r="F49" s="83">
        <f t="shared" si="22"/>
        <v>0</v>
      </c>
      <c r="G49" s="83">
        <f t="shared" si="23"/>
        <v>0</v>
      </c>
      <c r="H49" s="83">
        <f t="shared" si="24"/>
        <v>100</v>
      </c>
      <c r="I49" s="84">
        <f t="shared" si="30"/>
        <v>0</v>
      </c>
      <c r="J49" s="84">
        <f t="shared" si="26"/>
        <v>0</v>
      </c>
      <c r="K49" s="85">
        <v>0</v>
      </c>
      <c r="L49" s="85">
        <v>0</v>
      </c>
      <c r="M49" s="85">
        <v>0</v>
      </c>
      <c r="N49" s="81">
        <f t="shared" si="27"/>
        <v>100</v>
      </c>
      <c r="O49" s="81">
        <f t="shared" si="28"/>
        <v>100</v>
      </c>
      <c r="P49" s="82">
        <v>0</v>
      </c>
      <c r="Q49" s="82">
        <v>0</v>
      </c>
      <c r="R49" s="82">
        <v>100</v>
      </c>
      <c r="S49" s="81">
        <f t="shared" si="18"/>
        <v>0</v>
      </c>
      <c r="T49" s="82">
        <v>0</v>
      </c>
      <c r="U49" s="82">
        <v>0</v>
      </c>
      <c r="V49" s="82">
        <v>0</v>
      </c>
      <c r="W49" s="81">
        <f t="shared" si="19"/>
        <v>0</v>
      </c>
      <c r="X49" s="82">
        <v>0</v>
      </c>
      <c r="Y49" s="82">
        <v>0</v>
      </c>
      <c r="Z49" s="82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27" t="s">
        <v>145</v>
      </c>
      <c r="B50" s="138" t="s">
        <v>146</v>
      </c>
      <c r="C50" s="80" t="s">
        <v>52</v>
      </c>
      <c r="D50" s="81">
        <f t="shared" si="20"/>
        <v>200</v>
      </c>
      <c r="E50" s="82">
        <f t="shared" si="21"/>
        <v>0</v>
      </c>
      <c r="F50" s="83">
        <f t="shared" si="22"/>
        <v>0</v>
      </c>
      <c r="G50" s="83">
        <f t="shared" si="23"/>
        <v>0</v>
      </c>
      <c r="H50" s="83">
        <f t="shared" si="24"/>
        <v>200</v>
      </c>
      <c r="I50" s="84">
        <f t="shared" si="30"/>
        <v>0</v>
      </c>
      <c r="J50" s="84">
        <f t="shared" si="26"/>
        <v>0</v>
      </c>
      <c r="K50" s="85">
        <v>0</v>
      </c>
      <c r="L50" s="85">
        <v>0</v>
      </c>
      <c r="M50" s="85">
        <v>0</v>
      </c>
      <c r="N50" s="81">
        <f t="shared" si="27"/>
        <v>200</v>
      </c>
      <c r="O50" s="81">
        <f t="shared" si="28"/>
        <v>200</v>
      </c>
      <c r="P50" s="82">
        <v>0</v>
      </c>
      <c r="Q50" s="82">
        <v>0</v>
      </c>
      <c r="R50" s="82">
        <v>200</v>
      </c>
      <c r="S50" s="81">
        <f t="shared" si="18"/>
        <v>0</v>
      </c>
      <c r="T50" s="82">
        <v>0</v>
      </c>
      <c r="U50" s="82">
        <v>0</v>
      </c>
      <c r="V50" s="82">
        <v>0</v>
      </c>
      <c r="W50" s="81">
        <f t="shared" si="19"/>
        <v>0</v>
      </c>
      <c r="X50" s="82">
        <v>0</v>
      </c>
      <c r="Y50" s="82">
        <v>0</v>
      </c>
      <c r="Z50" s="82"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50.25" customHeight="1">
      <c r="A51" s="27"/>
      <c r="B51" s="138" t="s">
        <v>147</v>
      </c>
      <c r="C51" s="80" t="s">
        <v>52</v>
      </c>
      <c r="D51" s="81">
        <f t="shared" si="20"/>
        <v>100</v>
      </c>
      <c r="E51" s="82">
        <f t="shared" si="21"/>
        <v>0</v>
      </c>
      <c r="F51" s="83">
        <f t="shared" si="22"/>
        <v>0</v>
      </c>
      <c r="G51" s="83">
        <f t="shared" si="23"/>
        <v>0</v>
      </c>
      <c r="H51" s="83">
        <f t="shared" si="24"/>
        <v>100</v>
      </c>
      <c r="I51" s="84">
        <f t="shared" si="30"/>
        <v>0</v>
      </c>
      <c r="J51" s="84">
        <f>SUM(K51:M51)</f>
        <v>0</v>
      </c>
      <c r="K51" s="85">
        <v>0</v>
      </c>
      <c r="L51" s="85">
        <v>0</v>
      </c>
      <c r="M51" s="85">
        <v>0</v>
      </c>
      <c r="N51" s="81">
        <f t="shared" si="27"/>
        <v>100</v>
      </c>
      <c r="O51" s="81">
        <f t="shared" si="28"/>
        <v>100</v>
      </c>
      <c r="P51" s="82">
        <v>0</v>
      </c>
      <c r="Q51" s="82">
        <v>0</v>
      </c>
      <c r="R51" s="82">
        <v>100</v>
      </c>
      <c r="S51" s="81">
        <f t="shared" si="18"/>
        <v>0</v>
      </c>
      <c r="T51" s="82">
        <v>0</v>
      </c>
      <c r="U51" s="82">
        <v>0</v>
      </c>
      <c r="V51" s="82">
        <v>0</v>
      </c>
      <c r="W51" s="81">
        <f t="shared" si="19"/>
        <v>0</v>
      </c>
      <c r="X51" s="82">
        <v>0</v>
      </c>
      <c r="Y51" s="82">
        <v>0</v>
      </c>
      <c r="Z51" s="82">
        <v>0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37.5" customHeight="1">
      <c r="A52" s="27"/>
      <c r="B52" s="138" t="s">
        <v>148</v>
      </c>
      <c r="C52" s="80" t="s">
        <v>52</v>
      </c>
      <c r="D52" s="81">
        <f t="shared" si="20"/>
        <v>100</v>
      </c>
      <c r="E52" s="82">
        <f t="shared" si="21"/>
        <v>0</v>
      </c>
      <c r="F52" s="83">
        <f t="shared" si="22"/>
        <v>0</v>
      </c>
      <c r="G52" s="83">
        <f t="shared" si="23"/>
        <v>0</v>
      </c>
      <c r="H52" s="83">
        <f t="shared" si="24"/>
        <v>100</v>
      </c>
      <c r="I52" s="84">
        <f t="shared" si="30"/>
        <v>0</v>
      </c>
      <c r="J52" s="84">
        <f t="shared" si="26"/>
        <v>0</v>
      </c>
      <c r="K52" s="85">
        <v>0</v>
      </c>
      <c r="L52" s="85">
        <v>0</v>
      </c>
      <c r="M52" s="85">
        <v>0</v>
      </c>
      <c r="N52" s="81">
        <f t="shared" si="27"/>
        <v>100</v>
      </c>
      <c r="O52" s="81">
        <f t="shared" si="28"/>
        <v>100</v>
      </c>
      <c r="P52" s="82">
        <v>0</v>
      </c>
      <c r="Q52" s="82">
        <v>0</v>
      </c>
      <c r="R52" s="82">
        <v>100</v>
      </c>
      <c r="S52" s="81">
        <f t="shared" si="18"/>
        <v>0</v>
      </c>
      <c r="T52" s="82">
        <v>0</v>
      </c>
      <c r="U52" s="82">
        <v>0</v>
      </c>
      <c r="V52" s="82">
        <v>0</v>
      </c>
      <c r="W52" s="81">
        <f>X52+Y52+Z52</f>
        <v>0</v>
      </c>
      <c r="X52" s="82">
        <v>0</v>
      </c>
      <c r="Y52" s="82">
        <v>0</v>
      </c>
      <c r="Z52" s="82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30" customHeight="1">
      <c r="A53" s="27" t="s">
        <v>158</v>
      </c>
      <c r="B53" s="138" t="s">
        <v>159</v>
      </c>
      <c r="C53" s="80" t="s">
        <v>52</v>
      </c>
      <c r="D53" s="81">
        <f t="shared" si="20"/>
        <v>52.77184</v>
      </c>
      <c r="E53" s="82">
        <f t="shared" si="21"/>
        <v>0</v>
      </c>
      <c r="F53" s="83">
        <f t="shared" si="22"/>
        <v>0</v>
      </c>
      <c r="G53" s="83">
        <f t="shared" si="23"/>
        <v>0</v>
      </c>
      <c r="H53" s="83">
        <f t="shared" si="24"/>
        <v>52.77184</v>
      </c>
      <c r="I53" s="84">
        <f t="shared" si="30"/>
        <v>0</v>
      </c>
      <c r="J53" s="84">
        <f t="shared" si="26"/>
        <v>0</v>
      </c>
      <c r="K53" s="85">
        <v>0</v>
      </c>
      <c r="L53" s="85">
        <v>0</v>
      </c>
      <c r="M53" s="85">
        <v>0</v>
      </c>
      <c r="N53" s="81">
        <f t="shared" si="27"/>
        <v>52.77184</v>
      </c>
      <c r="O53" s="81">
        <f t="shared" si="28"/>
        <v>52.77184</v>
      </c>
      <c r="P53" s="82">
        <v>0</v>
      </c>
      <c r="Q53" s="82">
        <v>0</v>
      </c>
      <c r="R53" s="82">
        <v>52.77184</v>
      </c>
      <c r="S53" s="81">
        <f t="shared" si="18"/>
        <v>0</v>
      </c>
      <c r="T53" s="82">
        <v>0</v>
      </c>
      <c r="U53" s="82">
        <v>0</v>
      </c>
      <c r="V53" s="82">
        <v>0</v>
      </c>
      <c r="W53" s="81">
        <f>X53+Y53+Z53</f>
        <v>0</v>
      </c>
      <c r="X53" s="82">
        <v>0</v>
      </c>
      <c r="Y53" s="82">
        <v>0</v>
      </c>
      <c r="Z53" s="82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4">
      <c r="A54" s="23">
        <v>3</v>
      </c>
      <c r="B54" s="99" t="s">
        <v>60</v>
      </c>
      <c r="C54" s="96"/>
      <c r="D54" s="79">
        <f>SUM(D55)</f>
        <v>4473.2925000000005</v>
      </c>
      <c r="E54" s="79">
        <f aca="true" t="shared" si="31" ref="E54:Z54">SUM(E55)</f>
        <v>0</v>
      </c>
      <c r="F54" s="79">
        <f t="shared" si="31"/>
        <v>0</v>
      </c>
      <c r="G54" s="79">
        <f t="shared" si="31"/>
        <v>0</v>
      </c>
      <c r="H54" s="79">
        <f>SUM(H55)</f>
        <v>4473.2925000000005</v>
      </c>
      <c r="I54" s="79">
        <f>SUM(I55)</f>
        <v>4473.2925000000005</v>
      </c>
      <c r="J54" s="79">
        <f>SUM(J55)</f>
        <v>4473.2925000000005</v>
      </c>
      <c r="K54" s="79">
        <f t="shared" si="31"/>
        <v>4260.27857</v>
      </c>
      <c r="L54" s="79">
        <f t="shared" si="31"/>
        <v>0</v>
      </c>
      <c r="M54" s="79">
        <f t="shared" si="31"/>
        <v>213.01393</v>
      </c>
      <c r="N54" s="79">
        <f t="shared" si="31"/>
        <v>0</v>
      </c>
      <c r="O54" s="79">
        <f t="shared" si="31"/>
        <v>0</v>
      </c>
      <c r="P54" s="79">
        <f t="shared" si="31"/>
        <v>0</v>
      </c>
      <c r="Q54" s="79">
        <f t="shared" si="31"/>
        <v>0</v>
      </c>
      <c r="R54" s="79">
        <f t="shared" si="31"/>
        <v>0</v>
      </c>
      <c r="S54" s="79">
        <f t="shared" si="31"/>
        <v>0</v>
      </c>
      <c r="T54" s="79">
        <f t="shared" si="31"/>
        <v>0</v>
      </c>
      <c r="U54" s="79">
        <f t="shared" si="31"/>
        <v>0</v>
      </c>
      <c r="V54" s="79">
        <f t="shared" si="31"/>
        <v>0</v>
      </c>
      <c r="W54" s="79">
        <f t="shared" si="31"/>
        <v>0</v>
      </c>
      <c r="X54" s="79">
        <f t="shared" si="31"/>
        <v>0</v>
      </c>
      <c r="Y54" s="79">
        <f t="shared" si="31"/>
        <v>0</v>
      </c>
      <c r="Z54" s="79">
        <f t="shared" si="31"/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26" s="12" customFormat="1" ht="24.75" customHeight="1">
      <c r="A55" s="32" t="s">
        <v>24</v>
      </c>
      <c r="B55" s="116" t="s">
        <v>59</v>
      </c>
      <c r="C55" s="80" t="s">
        <v>52</v>
      </c>
      <c r="D55" s="81">
        <f>SUM(E55:H55)</f>
        <v>4473.2925000000005</v>
      </c>
      <c r="E55" s="82">
        <f>T55</f>
        <v>0</v>
      </c>
      <c r="F55" s="83">
        <f>U55</f>
        <v>0</v>
      </c>
      <c r="G55" s="83">
        <f>V55</f>
        <v>0</v>
      </c>
      <c r="H55" s="83">
        <f>J55+O55</f>
        <v>4473.2925000000005</v>
      </c>
      <c r="I55" s="84">
        <f>J55</f>
        <v>4473.2925000000005</v>
      </c>
      <c r="J55" s="84">
        <f>SUM(K55:M55)</f>
        <v>4473.2925000000005</v>
      </c>
      <c r="K55" s="85">
        <v>4260.27857</v>
      </c>
      <c r="L55" s="85">
        <v>0</v>
      </c>
      <c r="M55" s="85">
        <v>213.01393</v>
      </c>
      <c r="N55" s="81">
        <f>O55</f>
        <v>0</v>
      </c>
      <c r="O55" s="81">
        <f>SUM(P55:R55)</f>
        <v>0</v>
      </c>
      <c r="P55" s="82">
        <v>0</v>
      </c>
      <c r="Q55" s="82">
        <v>0</v>
      </c>
      <c r="R55" s="82">
        <v>0</v>
      </c>
      <c r="S55" s="81">
        <f>T55+U55+V55</f>
        <v>0</v>
      </c>
      <c r="T55" s="82">
        <v>0</v>
      </c>
      <c r="U55" s="82">
        <v>0</v>
      </c>
      <c r="V55" s="82">
        <v>0</v>
      </c>
      <c r="W55" s="81">
        <f>X55+Y55+Z55</f>
        <v>0</v>
      </c>
      <c r="X55" s="82">
        <v>0</v>
      </c>
      <c r="Y55" s="82">
        <v>0</v>
      </c>
      <c r="Z55" s="82">
        <v>0</v>
      </c>
    </row>
    <row r="56" spans="1:26" s="12" customFormat="1" ht="24.75" customHeight="1">
      <c r="A56" s="32"/>
      <c r="B56" s="116"/>
      <c r="C56" s="80"/>
      <c r="D56" s="81"/>
      <c r="E56" s="82"/>
      <c r="F56" s="83"/>
      <c r="G56" s="83"/>
      <c r="H56" s="83"/>
      <c r="I56" s="84"/>
      <c r="J56" s="84"/>
      <c r="K56" s="85"/>
      <c r="L56" s="85"/>
      <c r="M56" s="85"/>
      <c r="N56" s="81"/>
      <c r="O56" s="81"/>
      <c r="P56" s="82"/>
      <c r="Q56" s="82"/>
      <c r="R56" s="82"/>
      <c r="S56" s="81"/>
      <c r="T56" s="82"/>
      <c r="U56" s="82"/>
      <c r="V56" s="82"/>
      <c r="W56" s="81"/>
      <c r="X56" s="82"/>
      <c r="Y56" s="82"/>
      <c r="Z56" s="82"/>
    </row>
    <row r="57" spans="1:61" ht="50.25" customHeight="1">
      <c r="A57" s="22"/>
      <c r="B57" s="98" t="s">
        <v>117</v>
      </c>
      <c r="C57" s="77"/>
      <c r="D57" s="76">
        <f>D58</f>
        <v>7246</v>
      </c>
      <c r="E57" s="76">
        <f aca="true" t="shared" si="32" ref="E57:Z57">E58</f>
        <v>0</v>
      </c>
      <c r="F57" s="76">
        <f t="shared" si="32"/>
        <v>0</v>
      </c>
      <c r="G57" s="76">
        <f t="shared" si="32"/>
        <v>0</v>
      </c>
      <c r="H57" s="76">
        <f t="shared" si="32"/>
        <v>7246</v>
      </c>
      <c r="I57" s="76">
        <f t="shared" si="32"/>
        <v>0</v>
      </c>
      <c r="J57" s="76">
        <f t="shared" si="32"/>
        <v>0</v>
      </c>
      <c r="K57" s="76">
        <f t="shared" si="32"/>
        <v>0</v>
      </c>
      <c r="L57" s="76">
        <f t="shared" si="32"/>
        <v>0</v>
      </c>
      <c r="M57" s="76">
        <f t="shared" si="32"/>
        <v>0</v>
      </c>
      <c r="N57" s="76">
        <f t="shared" si="32"/>
        <v>7246</v>
      </c>
      <c r="O57" s="76">
        <f t="shared" si="32"/>
        <v>7246</v>
      </c>
      <c r="P57" s="76">
        <f t="shared" si="32"/>
        <v>0</v>
      </c>
      <c r="Q57" s="76">
        <f t="shared" si="32"/>
        <v>3873.5</v>
      </c>
      <c r="R57" s="76">
        <f t="shared" si="32"/>
        <v>3372.5</v>
      </c>
      <c r="S57" s="76">
        <f t="shared" si="32"/>
        <v>0</v>
      </c>
      <c r="T57" s="76">
        <f t="shared" si="32"/>
        <v>0</v>
      </c>
      <c r="U57" s="76">
        <f t="shared" si="32"/>
        <v>0</v>
      </c>
      <c r="V57" s="76">
        <f t="shared" si="32"/>
        <v>0</v>
      </c>
      <c r="W57" s="76">
        <f t="shared" si="32"/>
        <v>0</v>
      </c>
      <c r="X57" s="76">
        <f t="shared" si="32"/>
        <v>0</v>
      </c>
      <c r="Y57" s="76">
        <f t="shared" si="32"/>
        <v>0</v>
      </c>
      <c r="Z57" s="76">
        <f t="shared" si="32"/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26" s="74" customFormat="1" ht="61.5" customHeight="1">
      <c r="A58" s="23" t="s">
        <v>94</v>
      </c>
      <c r="B58" s="99" t="s">
        <v>99</v>
      </c>
      <c r="C58" s="78"/>
      <c r="D58" s="79">
        <f>D59+D63+D64+D65</f>
        <v>7246</v>
      </c>
      <c r="E58" s="79">
        <f>E59+E63+E64+E65</f>
        <v>0</v>
      </c>
      <c r="F58" s="79">
        <f aca="true" t="shared" si="33" ref="F58:M58">F59+F63+F64</f>
        <v>0</v>
      </c>
      <c r="G58" s="79">
        <f t="shared" si="33"/>
        <v>0</v>
      </c>
      <c r="H58" s="79">
        <f>H59+H63+H64+H65</f>
        <v>7246</v>
      </c>
      <c r="I58" s="79">
        <f t="shared" si="33"/>
        <v>0</v>
      </c>
      <c r="J58" s="79">
        <f t="shared" si="33"/>
        <v>0</v>
      </c>
      <c r="K58" s="79">
        <f t="shared" si="33"/>
        <v>0</v>
      </c>
      <c r="L58" s="79">
        <f>L59+L63+L64</f>
        <v>0</v>
      </c>
      <c r="M58" s="79">
        <f t="shared" si="33"/>
        <v>0</v>
      </c>
      <c r="N58" s="79">
        <f>N59+N63+N64+N65</f>
        <v>7246</v>
      </c>
      <c r="O58" s="79">
        <f>O59+O63+O64+O65</f>
        <v>7246</v>
      </c>
      <c r="P58" s="79">
        <f>P59+P63+P64+P65</f>
        <v>0</v>
      </c>
      <c r="Q58" s="79">
        <f>Q59+Q63+Q64+Q65</f>
        <v>3873.5</v>
      </c>
      <c r="R58" s="79">
        <f>R59+R63+R64+R65</f>
        <v>3372.5</v>
      </c>
      <c r="S58" s="79">
        <f aca="true" t="shared" si="34" ref="S58:Z58">S59+S63+S64</f>
        <v>0</v>
      </c>
      <c r="T58" s="79">
        <f t="shared" si="34"/>
        <v>0</v>
      </c>
      <c r="U58" s="79">
        <f t="shared" si="34"/>
        <v>0</v>
      </c>
      <c r="V58" s="79">
        <f>V59+V63+V64</f>
        <v>0</v>
      </c>
      <c r="W58" s="79">
        <f t="shared" si="34"/>
        <v>0</v>
      </c>
      <c r="X58" s="79">
        <f t="shared" si="34"/>
        <v>0</v>
      </c>
      <c r="Y58" s="79">
        <f t="shared" si="34"/>
        <v>0</v>
      </c>
      <c r="Z58" s="79">
        <f t="shared" si="34"/>
        <v>0</v>
      </c>
    </row>
    <row r="59" spans="1:61" ht="60">
      <c r="A59" s="19" t="s">
        <v>70</v>
      </c>
      <c r="B59" s="114" t="s">
        <v>95</v>
      </c>
      <c r="C59" s="80" t="s">
        <v>52</v>
      </c>
      <c r="D59" s="81">
        <f aca="true" t="shared" si="35" ref="D59:D65">SUM(E59:H59)</f>
        <v>6789.3369999999995</v>
      </c>
      <c r="E59" s="82">
        <f aca="true" t="shared" si="36" ref="E59:G65">T59</f>
        <v>0</v>
      </c>
      <c r="F59" s="83">
        <f>U59</f>
        <v>0</v>
      </c>
      <c r="G59" s="83">
        <f>V59</f>
        <v>0</v>
      </c>
      <c r="H59" s="83">
        <f aca="true" t="shared" si="37" ref="H59:H65">J59+O59</f>
        <v>6789.3369999999995</v>
      </c>
      <c r="I59" s="84">
        <f aca="true" t="shared" si="38" ref="I59:I65">K59+L59+M59</f>
        <v>0</v>
      </c>
      <c r="J59" s="84">
        <f aca="true" t="shared" si="39" ref="J59:J65">SUM(K59:M59)</f>
        <v>0</v>
      </c>
      <c r="K59" s="85">
        <v>0</v>
      </c>
      <c r="L59" s="85">
        <v>0</v>
      </c>
      <c r="M59" s="89">
        <v>0</v>
      </c>
      <c r="N59" s="81">
        <f aca="true" t="shared" si="40" ref="N59:N65">O59</f>
        <v>6789.3369999999995</v>
      </c>
      <c r="O59" s="81">
        <f>SUM(P59:R59)</f>
        <v>6789.3369999999995</v>
      </c>
      <c r="P59" s="82">
        <v>0</v>
      </c>
      <c r="Q59" s="82">
        <v>3873.5</v>
      </c>
      <c r="R59" s="82">
        <f>1883.837+204+1143-35-280</f>
        <v>2915.837</v>
      </c>
      <c r="S59" s="81">
        <f aca="true" t="shared" si="41" ref="S59:S65">T59+U59+V59</f>
        <v>0</v>
      </c>
      <c r="T59" s="82">
        <v>0</v>
      </c>
      <c r="U59" s="82">
        <v>0</v>
      </c>
      <c r="V59" s="82">
        <v>0</v>
      </c>
      <c r="W59" s="81">
        <f aca="true" t="shared" si="42" ref="W59:W65">X59+Y59+Z59</f>
        <v>0</v>
      </c>
      <c r="X59" s="82">
        <v>0</v>
      </c>
      <c r="Y59" s="82">
        <v>0</v>
      </c>
      <c r="Z59" s="82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4" customHeight="1">
      <c r="A60" s="19"/>
      <c r="B60" s="106" t="s">
        <v>61</v>
      </c>
      <c r="C60" s="80" t="s">
        <v>52</v>
      </c>
      <c r="D60" s="81">
        <f t="shared" si="35"/>
        <v>3823.7000000000003</v>
      </c>
      <c r="E60" s="82">
        <f t="shared" si="36"/>
        <v>0</v>
      </c>
      <c r="F60" s="83">
        <f t="shared" si="36"/>
        <v>0</v>
      </c>
      <c r="G60" s="83">
        <f t="shared" si="36"/>
        <v>0</v>
      </c>
      <c r="H60" s="83">
        <f t="shared" si="37"/>
        <v>3823.7000000000003</v>
      </c>
      <c r="I60" s="84">
        <f t="shared" si="38"/>
        <v>0</v>
      </c>
      <c r="J60" s="84">
        <f t="shared" si="39"/>
        <v>0</v>
      </c>
      <c r="K60" s="85">
        <v>0</v>
      </c>
      <c r="L60" s="85">
        <v>0</v>
      </c>
      <c r="M60" s="85">
        <v>0</v>
      </c>
      <c r="N60" s="81">
        <f t="shared" si="40"/>
        <v>3823.7000000000003</v>
      </c>
      <c r="O60" s="81">
        <f aca="true" t="shared" si="43" ref="O60:O65">SUM(P60:R60)</f>
        <v>3823.7000000000003</v>
      </c>
      <c r="P60" s="82">
        <v>0</v>
      </c>
      <c r="Q60" s="82">
        <v>3632.4</v>
      </c>
      <c r="R60" s="82">
        <v>191.3</v>
      </c>
      <c r="S60" s="81">
        <f t="shared" si="41"/>
        <v>0</v>
      </c>
      <c r="T60" s="82">
        <v>0</v>
      </c>
      <c r="U60" s="82">
        <v>0</v>
      </c>
      <c r="V60" s="82">
        <v>0</v>
      </c>
      <c r="W60" s="81">
        <f t="shared" si="42"/>
        <v>0</v>
      </c>
      <c r="X60" s="82">
        <v>0</v>
      </c>
      <c r="Y60" s="82">
        <v>0</v>
      </c>
      <c r="Z60" s="82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4" customHeight="1">
      <c r="A61" s="19"/>
      <c r="B61" s="106" t="s">
        <v>62</v>
      </c>
      <c r="C61" s="80" t="s">
        <v>52</v>
      </c>
      <c r="D61" s="81">
        <f t="shared" si="35"/>
        <v>253.79999999999998</v>
      </c>
      <c r="E61" s="82">
        <f t="shared" si="36"/>
        <v>0</v>
      </c>
      <c r="F61" s="83">
        <f t="shared" si="36"/>
        <v>0</v>
      </c>
      <c r="G61" s="83">
        <f t="shared" si="36"/>
        <v>0</v>
      </c>
      <c r="H61" s="83">
        <f t="shared" si="37"/>
        <v>253.79999999999998</v>
      </c>
      <c r="I61" s="84">
        <f t="shared" si="38"/>
        <v>0</v>
      </c>
      <c r="J61" s="84">
        <f t="shared" si="39"/>
        <v>0</v>
      </c>
      <c r="K61" s="85">
        <v>0</v>
      </c>
      <c r="L61" s="85">
        <v>0</v>
      </c>
      <c r="M61" s="85">
        <v>0</v>
      </c>
      <c r="N61" s="81">
        <f t="shared" si="40"/>
        <v>253.79999999999998</v>
      </c>
      <c r="O61" s="81">
        <f t="shared" si="43"/>
        <v>253.79999999999998</v>
      </c>
      <c r="P61" s="82">
        <v>0</v>
      </c>
      <c r="Q61" s="82">
        <v>241.1</v>
      </c>
      <c r="R61" s="82">
        <v>12.7</v>
      </c>
      <c r="S61" s="81">
        <f t="shared" si="41"/>
        <v>0</v>
      </c>
      <c r="T61" s="82">
        <v>0</v>
      </c>
      <c r="U61" s="82">
        <v>0</v>
      </c>
      <c r="V61" s="82">
        <v>0</v>
      </c>
      <c r="W61" s="81">
        <f t="shared" si="42"/>
        <v>0</v>
      </c>
      <c r="X61" s="82">
        <v>0</v>
      </c>
      <c r="Y61" s="82">
        <v>0</v>
      </c>
      <c r="Z61" s="82">
        <v>0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4.75" customHeight="1">
      <c r="A62" s="19"/>
      <c r="B62" s="106" t="s">
        <v>63</v>
      </c>
      <c r="C62" s="80" t="s">
        <v>52</v>
      </c>
      <c r="D62" s="81">
        <f t="shared" si="35"/>
        <v>0</v>
      </c>
      <c r="E62" s="82">
        <f>T62</f>
        <v>0</v>
      </c>
      <c r="F62" s="83">
        <f t="shared" si="36"/>
        <v>0</v>
      </c>
      <c r="G62" s="83">
        <f t="shared" si="36"/>
        <v>0</v>
      </c>
      <c r="H62" s="83">
        <f t="shared" si="37"/>
        <v>0</v>
      </c>
      <c r="I62" s="84">
        <f t="shared" si="38"/>
        <v>0</v>
      </c>
      <c r="J62" s="84">
        <f t="shared" si="39"/>
        <v>0</v>
      </c>
      <c r="K62" s="85">
        <v>0</v>
      </c>
      <c r="L62" s="85">
        <v>0</v>
      </c>
      <c r="M62" s="85"/>
      <c r="N62" s="81">
        <f t="shared" si="40"/>
        <v>0</v>
      </c>
      <c r="O62" s="81">
        <f t="shared" si="43"/>
        <v>0</v>
      </c>
      <c r="P62" s="82">
        <v>0</v>
      </c>
      <c r="Q62" s="82">
        <v>0</v>
      </c>
      <c r="R62" s="82">
        <v>0</v>
      </c>
      <c r="S62" s="81">
        <f t="shared" si="41"/>
        <v>0</v>
      </c>
      <c r="T62" s="82">
        <v>0</v>
      </c>
      <c r="U62" s="82">
        <v>0</v>
      </c>
      <c r="V62" s="82">
        <v>0</v>
      </c>
      <c r="W62" s="81">
        <f t="shared" si="42"/>
        <v>0</v>
      </c>
      <c r="X62" s="82">
        <v>0</v>
      </c>
      <c r="Y62" s="82">
        <v>0</v>
      </c>
      <c r="Z62" s="82">
        <v>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48" customHeight="1">
      <c r="A63" s="18" t="s">
        <v>72</v>
      </c>
      <c r="B63" s="107" t="s">
        <v>48</v>
      </c>
      <c r="C63" s="80" t="s">
        <v>52</v>
      </c>
      <c r="D63" s="81">
        <f t="shared" si="35"/>
        <v>176.663</v>
      </c>
      <c r="E63" s="82">
        <f>T63</f>
        <v>0</v>
      </c>
      <c r="F63" s="83">
        <f t="shared" si="36"/>
        <v>0</v>
      </c>
      <c r="G63" s="83">
        <f t="shared" si="36"/>
        <v>0</v>
      </c>
      <c r="H63" s="83">
        <f t="shared" si="37"/>
        <v>176.663</v>
      </c>
      <c r="I63" s="84">
        <f t="shared" si="38"/>
        <v>0</v>
      </c>
      <c r="J63" s="84">
        <f t="shared" si="39"/>
        <v>0</v>
      </c>
      <c r="K63" s="85">
        <v>0</v>
      </c>
      <c r="L63" s="85">
        <v>0</v>
      </c>
      <c r="M63" s="89">
        <v>0</v>
      </c>
      <c r="N63" s="81">
        <f t="shared" si="40"/>
        <v>176.663</v>
      </c>
      <c r="O63" s="81">
        <f t="shared" si="43"/>
        <v>176.663</v>
      </c>
      <c r="P63" s="82">
        <v>0</v>
      </c>
      <c r="Q63" s="82">
        <v>0</v>
      </c>
      <c r="R63" s="82">
        <v>176.663</v>
      </c>
      <c r="S63" s="81">
        <f t="shared" si="41"/>
        <v>0</v>
      </c>
      <c r="T63" s="82">
        <v>0</v>
      </c>
      <c r="U63" s="82">
        <v>0</v>
      </c>
      <c r="V63" s="82">
        <v>0</v>
      </c>
      <c r="W63" s="81">
        <f t="shared" si="42"/>
        <v>0</v>
      </c>
      <c r="X63" s="82">
        <v>0</v>
      </c>
      <c r="Y63" s="82">
        <v>0</v>
      </c>
      <c r="Z63" s="82">
        <v>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36.75" customHeight="1">
      <c r="A64" s="18" t="s">
        <v>101</v>
      </c>
      <c r="B64" s="116" t="s">
        <v>106</v>
      </c>
      <c r="C64" s="80" t="s">
        <v>108</v>
      </c>
      <c r="D64" s="81">
        <f t="shared" si="35"/>
        <v>0</v>
      </c>
      <c r="E64" s="82">
        <f>T64</f>
        <v>0</v>
      </c>
      <c r="F64" s="83">
        <f t="shared" si="36"/>
        <v>0</v>
      </c>
      <c r="G64" s="83">
        <f t="shared" si="36"/>
        <v>0</v>
      </c>
      <c r="H64" s="83">
        <f t="shared" si="37"/>
        <v>0</v>
      </c>
      <c r="I64" s="84">
        <f t="shared" si="38"/>
        <v>0</v>
      </c>
      <c r="J64" s="84">
        <f t="shared" si="39"/>
        <v>0</v>
      </c>
      <c r="K64" s="85">
        <v>0</v>
      </c>
      <c r="L64" s="85">
        <v>0</v>
      </c>
      <c r="M64" s="85">
        <v>0</v>
      </c>
      <c r="N64" s="81">
        <f t="shared" si="40"/>
        <v>0</v>
      </c>
      <c r="O64" s="81">
        <f t="shared" si="43"/>
        <v>0</v>
      </c>
      <c r="P64" s="82">
        <v>0</v>
      </c>
      <c r="Q64" s="82">
        <v>0</v>
      </c>
      <c r="R64" s="82">
        <f>3320-3320</f>
        <v>0</v>
      </c>
      <c r="S64" s="81">
        <f t="shared" si="41"/>
        <v>0</v>
      </c>
      <c r="T64" s="82">
        <v>0</v>
      </c>
      <c r="U64" s="82">
        <v>0</v>
      </c>
      <c r="V64" s="82">
        <v>0</v>
      </c>
      <c r="W64" s="81">
        <f t="shared" si="42"/>
        <v>0</v>
      </c>
      <c r="X64" s="82">
        <v>0</v>
      </c>
      <c r="Y64" s="82">
        <v>0</v>
      </c>
      <c r="Z64" s="82">
        <v>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36.75" customHeight="1">
      <c r="A65" s="18" t="s">
        <v>107</v>
      </c>
      <c r="B65" s="116" t="s">
        <v>157</v>
      </c>
      <c r="C65" s="80" t="s">
        <v>52</v>
      </c>
      <c r="D65" s="81">
        <f t="shared" si="35"/>
        <v>280</v>
      </c>
      <c r="E65" s="82">
        <f>T65</f>
        <v>0</v>
      </c>
      <c r="F65" s="83">
        <f t="shared" si="36"/>
        <v>0</v>
      </c>
      <c r="G65" s="83">
        <f t="shared" si="36"/>
        <v>0</v>
      </c>
      <c r="H65" s="83">
        <f t="shared" si="37"/>
        <v>280</v>
      </c>
      <c r="I65" s="84">
        <f t="shared" si="38"/>
        <v>0</v>
      </c>
      <c r="J65" s="84">
        <f t="shared" si="39"/>
        <v>0</v>
      </c>
      <c r="K65" s="85">
        <v>0</v>
      </c>
      <c r="L65" s="85">
        <v>0</v>
      </c>
      <c r="M65" s="85">
        <v>0</v>
      </c>
      <c r="N65" s="81">
        <f t="shared" si="40"/>
        <v>280</v>
      </c>
      <c r="O65" s="81">
        <f t="shared" si="43"/>
        <v>280</v>
      </c>
      <c r="P65" s="82">
        <v>0</v>
      </c>
      <c r="Q65" s="82">
        <v>0</v>
      </c>
      <c r="R65" s="82">
        <v>280</v>
      </c>
      <c r="S65" s="81">
        <f t="shared" si="41"/>
        <v>0</v>
      </c>
      <c r="T65" s="82">
        <v>0</v>
      </c>
      <c r="U65" s="82">
        <v>0</v>
      </c>
      <c r="V65" s="82">
        <v>0</v>
      </c>
      <c r="W65" s="81">
        <f t="shared" si="42"/>
        <v>0</v>
      </c>
      <c r="X65" s="82">
        <v>0</v>
      </c>
      <c r="Y65" s="82">
        <v>0</v>
      </c>
      <c r="Z65" s="82">
        <v>0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49.5" customHeight="1">
      <c r="A66" s="22"/>
      <c r="B66" s="98" t="s">
        <v>118</v>
      </c>
      <c r="C66" s="77"/>
      <c r="D66" s="76">
        <f>D67</f>
        <v>1636.41033</v>
      </c>
      <c r="E66" s="76">
        <f aca="true" t="shared" si="44" ref="E66:Z66">E67</f>
        <v>0</v>
      </c>
      <c r="F66" s="76">
        <f t="shared" si="44"/>
        <v>0</v>
      </c>
      <c r="G66" s="76">
        <f t="shared" si="44"/>
        <v>0</v>
      </c>
      <c r="H66" s="76">
        <f>H67</f>
        <v>1636.41033</v>
      </c>
      <c r="I66" s="76">
        <f t="shared" si="44"/>
        <v>0</v>
      </c>
      <c r="J66" s="76">
        <f t="shared" si="44"/>
        <v>0</v>
      </c>
      <c r="K66" s="76">
        <f t="shared" si="44"/>
        <v>0</v>
      </c>
      <c r="L66" s="76">
        <f t="shared" si="44"/>
        <v>0</v>
      </c>
      <c r="M66" s="76">
        <f t="shared" si="44"/>
        <v>0</v>
      </c>
      <c r="N66" s="76">
        <f>N67</f>
        <v>1636.41033</v>
      </c>
      <c r="O66" s="76">
        <f t="shared" si="44"/>
        <v>1636.41033</v>
      </c>
      <c r="P66" s="76">
        <f t="shared" si="44"/>
        <v>0</v>
      </c>
      <c r="Q66" s="76">
        <f t="shared" si="44"/>
        <v>460.57500000000005</v>
      </c>
      <c r="R66" s="76">
        <f>R67</f>
        <v>1175.8353299999999</v>
      </c>
      <c r="S66" s="76">
        <f t="shared" si="44"/>
        <v>0</v>
      </c>
      <c r="T66" s="76">
        <f t="shared" si="44"/>
        <v>0</v>
      </c>
      <c r="U66" s="76">
        <f t="shared" si="44"/>
        <v>0</v>
      </c>
      <c r="V66" s="76">
        <f t="shared" si="44"/>
        <v>0</v>
      </c>
      <c r="W66" s="76">
        <f t="shared" si="44"/>
        <v>0</v>
      </c>
      <c r="X66" s="76">
        <f t="shared" si="44"/>
        <v>0</v>
      </c>
      <c r="Y66" s="76">
        <f t="shared" si="44"/>
        <v>0</v>
      </c>
      <c r="Z66" s="76">
        <f t="shared" si="44"/>
        <v>0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26" s="74" customFormat="1" ht="61.5" customHeight="1">
      <c r="A67" s="23" t="s">
        <v>81</v>
      </c>
      <c r="B67" s="99" t="s">
        <v>100</v>
      </c>
      <c r="C67" s="78"/>
      <c r="D67" s="79">
        <f>D68+D72+D74+D75</f>
        <v>1636.41033</v>
      </c>
      <c r="E67" s="79">
        <f aca="true" t="shared" si="45" ref="E67:V67">E68+E72+E74</f>
        <v>0</v>
      </c>
      <c r="F67" s="79">
        <f t="shared" si="45"/>
        <v>0</v>
      </c>
      <c r="G67" s="79">
        <f t="shared" si="45"/>
        <v>0</v>
      </c>
      <c r="H67" s="79">
        <f>H68+H72+H74+H75</f>
        <v>1636.41033</v>
      </c>
      <c r="I67" s="79">
        <f t="shared" si="45"/>
        <v>0</v>
      </c>
      <c r="J67" s="79">
        <f t="shared" si="45"/>
        <v>0</v>
      </c>
      <c r="K67" s="79">
        <f t="shared" si="45"/>
        <v>0</v>
      </c>
      <c r="L67" s="79">
        <f t="shared" si="45"/>
        <v>0</v>
      </c>
      <c r="M67" s="79">
        <f t="shared" si="45"/>
        <v>0</v>
      </c>
      <c r="N67" s="79">
        <f>N68+N72+N74+N75</f>
        <v>1636.41033</v>
      </c>
      <c r="O67" s="79">
        <f>O68+O72+O74+O75</f>
        <v>1636.41033</v>
      </c>
      <c r="P67" s="79">
        <f t="shared" si="45"/>
        <v>0</v>
      </c>
      <c r="Q67" s="79">
        <f>Q68+Q72+Q74</f>
        <v>460.57500000000005</v>
      </c>
      <c r="R67" s="79">
        <f>R68+R72+R74+R75</f>
        <v>1175.8353299999999</v>
      </c>
      <c r="S67" s="79">
        <f t="shared" si="45"/>
        <v>0</v>
      </c>
      <c r="T67" s="79">
        <f t="shared" si="45"/>
        <v>0</v>
      </c>
      <c r="U67" s="79">
        <f t="shared" si="45"/>
        <v>0</v>
      </c>
      <c r="V67" s="79">
        <f t="shared" si="45"/>
        <v>0</v>
      </c>
      <c r="W67" s="79">
        <f>W68+W72+W74</f>
        <v>0</v>
      </c>
      <c r="X67" s="79">
        <f>X68+X72+X74</f>
        <v>0</v>
      </c>
      <c r="Y67" s="79">
        <f>Y68+Y72+Y74</f>
        <v>0</v>
      </c>
      <c r="Z67" s="79">
        <f>Z68+Z72+Z74</f>
        <v>0</v>
      </c>
    </row>
    <row r="68" spans="1:61" ht="60">
      <c r="A68" s="19" t="s">
        <v>82</v>
      </c>
      <c r="B68" s="114" t="s">
        <v>93</v>
      </c>
      <c r="C68" s="80" t="s">
        <v>92</v>
      </c>
      <c r="D68" s="81">
        <f aca="true" t="shared" si="46" ref="D68:D75">SUM(E68:H68)</f>
        <v>1636.41033</v>
      </c>
      <c r="E68" s="82">
        <f aca="true" t="shared" si="47" ref="E68:G72">T68</f>
        <v>0</v>
      </c>
      <c r="F68" s="83">
        <f t="shared" si="47"/>
        <v>0</v>
      </c>
      <c r="G68" s="83">
        <f t="shared" si="47"/>
        <v>0</v>
      </c>
      <c r="H68" s="83">
        <f>J68+O68</f>
        <v>1636.41033</v>
      </c>
      <c r="I68" s="84">
        <f>K68+L68+M68</f>
        <v>0</v>
      </c>
      <c r="J68" s="84">
        <f>SUM(K68:M68)</f>
        <v>0</v>
      </c>
      <c r="K68" s="85">
        <v>0</v>
      </c>
      <c r="L68" s="85">
        <v>0</v>
      </c>
      <c r="M68" s="89">
        <v>0</v>
      </c>
      <c r="N68" s="81">
        <f>P68+Q68+R68</f>
        <v>1636.41033</v>
      </c>
      <c r="O68" s="81">
        <f aca="true" t="shared" si="48" ref="O68:O75">SUM(P68:R68)</f>
        <v>1636.41033</v>
      </c>
      <c r="P68" s="82">
        <v>0</v>
      </c>
      <c r="Q68" s="82">
        <f>1842.3-1381.725</f>
        <v>460.57500000000005</v>
      </c>
      <c r="R68" s="82">
        <f>5946.7-4770.86467</f>
        <v>1175.8353299999999</v>
      </c>
      <c r="S68" s="81">
        <f>T68+U68+V68</f>
        <v>0</v>
      </c>
      <c r="T68" s="82">
        <v>0</v>
      </c>
      <c r="U68" s="82">
        <v>0</v>
      </c>
      <c r="V68" s="82">
        <v>0</v>
      </c>
      <c r="W68" s="81">
        <f>X68+Y68+Z68</f>
        <v>0</v>
      </c>
      <c r="X68" s="82">
        <v>0</v>
      </c>
      <c r="Y68" s="82">
        <v>0</v>
      </c>
      <c r="Z68" s="82">
        <v>0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2.5" customHeight="1">
      <c r="A69" s="19"/>
      <c r="B69" s="106" t="s">
        <v>61</v>
      </c>
      <c r="C69" s="80" t="s">
        <v>92</v>
      </c>
      <c r="D69" s="81">
        <f t="shared" si="46"/>
        <v>367.674</v>
      </c>
      <c r="E69" s="82">
        <f t="shared" si="47"/>
        <v>0</v>
      </c>
      <c r="F69" s="83">
        <f t="shared" si="47"/>
        <v>0</v>
      </c>
      <c r="G69" s="83">
        <f t="shared" si="47"/>
        <v>0</v>
      </c>
      <c r="H69" s="83">
        <f>J69+O69</f>
        <v>367.674</v>
      </c>
      <c r="I69" s="84">
        <f>K69+L69+M69</f>
        <v>0</v>
      </c>
      <c r="J69" s="84">
        <f aca="true" t="shared" si="49" ref="J69:J75">SUM(K69:M69)</f>
        <v>0</v>
      </c>
      <c r="K69" s="85">
        <v>0</v>
      </c>
      <c r="L69" s="85">
        <v>0</v>
      </c>
      <c r="M69" s="85">
        <v>0</v>
      </c>
      <c r="N69" s="81">
        <f>P69+Q69+R69</f>
        <v>367.674</v>
      </c>
      <c r="O69" s="81">
        <f t="shared" si="48"/>
        <v>367.674</v>
      </c>
      <c r="P69" s="82">
        <v>0</v>
      </c>
      <c r="Q69" s="82">
        <f>1397.2-1047.9</f>
        <v>349.29999999999995</v>
      </c>
      <c r="R69" s="82">
        <f>73.6-55.226</f>
        <v>18.373999999999995</v>
      </c>
      <c r="S69" s="81">
        <f>T69+U69+V69</f>
        <v>0</v>
      </c>
      <c r="T69" s="82">
        <v>0</v>
      </c>
      <c r="U69" s="82">
        <v>0</v>
      </c>
      <c r="V69" s="82">
        <v>0</v>
      </c>
      <c r="W69" s="81">
        <f>X69+Y69+Z69</f>
        <v>0</v>
      </c>
      <c r="X69" s="82">
        <v>0</v>
      </c>
      <c r="Y69" s="82">
        <v>0</v>
      </c>
      <c r="Z69" s="82">
        <v>0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4.75" customHeight="1">
      <c r="A70" s="19"/>
      <c r="B70" s="106" t="s">
        <v>62</v>
      </c>
      <c r="C70" s="80" t="s">
        <v>92</v>
      </c>
      <c r="D70" s="81">
        <f t="shared" si="46"/>
        <v>117.14200000000004</v>
      </c>
      <c r="E70" s="82">
        <f t="shared" si="47"/>
        <v>0</v>
      </c>
      <c r="F70" s="83">
        <f t="shared" si="47"/>
        <v>0</v>
      </c>
      <c r="G70" s="83">
        <f t="shared" si="47"/>
        <v>0</v>
      </c>
      <c r="H70" s="83">
        <f>J70+O70</f>
        <v>117.14200000000004</v>
      </c>
      <c r="I70" s="84">
        <f>K70+L70+M70</f>
        <v>0</v>
      </c>
      <c r="J70" s="84">
        <f t="shared" si="49"/>
        <v>0</v>
      </c>
      <c r="K70" s="85">
        <v>0</v>
      </c>
      <c r="L70" s="85">
        <v>0</v>
      </c>
      <c r="M70" s="85">
        <v>0</v>
      </c>
      <c r="N70" s="81">
        <f>P70+Q70+R70</f>
        <v>117.14200000000004</v>
      </c>
      <c r="O70" s="81">
        <f t="shared" si="48"/>
        <v>117.14200000000004</v>
      </c>
      <c r="P70" s="82">
        <v>0</v>
      </c>
      <c r="Q70" s="82">
        <f>445.1-333.825</f>
        <v>111.27500000000003</v>
      </c>
      <c r="R70" s="82">
        <f>23.5-17.633</f>
        <v>5.867000000000001</v>
      </c>
      <c r="S70" s="81">
        <f>T70+U70+V70</f>
        <v>0</v>
      </c>
      <c r="T70" s="82">
        <v>0</v>
      </c>
      <c r="U70" s="82">
        <v>0</v>
      </c>
      <c r="V70" s="82">
        <v>0</v>
      </c>
      <c r="W70" s="81">
        <f>X70+Y70+Z70</f>
        <v>0</v>
      </c>
      <c r="X70" s="82">
        <v>0</v>
      </c>
      <c r="Y70" s="82">
        <v>0</v>
      </c>
      <c r="Z70" s="82">
        <v>0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3.25" customHeight="1">
      <c r="A71" s="19"/>
      <c r="B71" s="106" t="s">
        <v>63</v>
      </c>
      <c r="C71" s="80" t="s">
        <v>92</v>
      </c>
      <c r="D71" s="81">
        <f t="shared" si="46"/>
        <v>0</v>
      </c>
      <c r="E71" s="82">
        <f t="shared" si="47"/>
        <v>0</v>
      </c>
      <c r="F71" s="83">
        <f t="shared" si="47"/>
        <v>0</v>
      </c>
      <c r="G71" s="83">
        <f t="shared" si="47"/>
        <v>0</v>
      </c>
      <c r="H71" s="83">
        <f>J71+O71</f>
        <v>0</v>
      </c>
      <c r="I71" s="84">
        <f>K71+L71+M71</f>
        <v>0</v>
      </c>
      <c r="J71" s="84">
        <f t="shared" si="49"/>
        <v>0</v>
      </c>
      <c r="K71" s="85">
        <v>0</v>
      </c>
      <c r="L71" s="85">
        <v>0</v>
      </c>
      <c r="M71" s="85">
        <v>0</v>
      </c>
      <c r="N71" s="81">
        <f>P71+Q71+R71</f>
        <v>0</v>
      </c>
      <c r="O71" s="81">
        <f t="shared" si="48"/>
        <v>0</v>
      </c>
      <c r="P71" s="82">
        <v>0</v>
      </c>
      <c r="Q71" s="82">
        <v>0</v>
      </c>
      <c r="R71" s="82">
        <v>0</v>
      </c>
      <c r="S71" s="81">
        <f>T71+U71+V71</f>
        <v>0</v>
      </c>
      <c r="T71" s="82">
        <v>0</v>
      </c>
      <c r="U71" s="82">
        <v>0</v>
      </c>
      <c r="V71" s="82">
        <v>0</v>
      </c>
      <c r="W71" s="81">
        <f>X71+Y71+Z71</f>
        <v>0</v>
      </c>
      <c r="X71" s="82">
        <v>0</v>
      </c>
      <c r="Y71" s="82">
        <v>0</v>
      </c>
      <c r="Z71" s="82">
        <v>0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48" customHeight="1">
      <c r="A72" s="18" t="s">
        <v>83</v>
      </c>
      <c r="B72" s="107" t="s">
        <v>48</v>
      </c>
      <c r="C72" s="80" t="s">
        <v>92</v>
      </c>
      <c r="D72" s="81">
        <f t="shared" si="46"/>
        <v>0</v>
      </c>
      <c r="E72" s="82">
        <f t="shared" si="47"/>
        <v>0</v>
      </c>
      <c r="F72" s="83">
        <f t="shared" si="47"/>
        <v>0</v>
      </c>
      <c r="G72" s="83">
        <f t="shared" si="47"/>
        <v>0</v>
      </c>
      <c r="H72" s="83">
        <f>J72+O72</f>
        <v>0</v>
      </c>
      <c r="I72" s="84">
        <f>K72+L72+M72</f>
        <v>0</v>
      </c>
      <c r="J72" s="84">
        <f t="shared" si="49"/>
        <v>0</v>
      </c>
      <c r="K72" s="85">
        <v>0</v>
      </c>
      <c r="L72" s="85">
        <v>0</v>
      </c>
      <c r="M72" s="89">
        <v>0</v>
      </c>
      <c r="N72" s="81">
        <f>P72+Q72+R72</f>
        <v>0</v>
      </c>
      <c r="O72" s="81">
        <f t="shared" si="48"/>
        <v>0</v>
      </c>
      <c r="P72" s="82">
        <v>0</v>
      </c>
      <c r="Q72" s="82">
        <v>0</v>
      </c>
      <c r="R72" s="82">
        <f>100-100</f>
        <v>0</v>
      </c>
      <c r="S72" s="81">
        <f>T72+U72+V72</f>
        <v>0</v>
      </c>
      <c r="T72" s="82">
        <v>0</v>
      </c>
      <c r="U72" s="82">
        <v>0</v>
      </c>
      <c r="V72" s="82">
        <v>0</v>
      </c>
      <c r="W72" s="81">
        <f>X72+Y72+Z72</f>
        <v>0</v>
      </c>
      <c r="X72" s="82">
        <v>0</v>
      </c>
      <c r="Y72" s="82">
        <v>0</v>
      </c>
      <c r="Z72" s="82">
        <v>0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48" customHeight="1">
      <c r="A73" s="18" t="s">
        <v>84</v>
      </c>
      <c r="B73" s="113" t="s">
        <v>104</v>
      </c>
      <c r="C73" s="80" t="s">
        <v>92</v>
      </c>
      <c r="D73" s="81">
        <f t="shared" si="46"/>
        <v>0</v>
      </c>
      <c r="E73" s="81">
        <f aca="true" t="shared" si="50" ref="E73:Z73">E74</f>
        <v>0</v>
      </c>
      <c r="F73" s="81">
        <f t="shared" si="50"/>
        <v>0</v>
      </c>
      <c r="G73" s="81">
        <f t="shared" si="50"/>
        <v>0</v>
      </c>
      <c r="H73" s="81">
        <f t="shared" si="50"/>
        <v>0</v>
      </c>
      <c r="I73" s="81">
        <f t="shared" si="50"/>
        <v>0</v>
      </c>
      <c r="J73" s="84">
        <f t="shared" si="49"/>
        <v>0</v>
      </c>
      <c r="K73" s="81">
        <f t="shared" si="50"/>
        <v>0</v>
      </c>
      <c r="L73" s="81">
        <f t="shared" si="50"/>
        <v>0</v>
      </c>
      <c r="M73" s="81">
        <f t="shared" si="50"/>
        <v>0</v>
      </c>
      <c r="N73" s="81">
        <f t="shared" si="50"/>
        <v>0</v>
      </c>
      <c r="O73" s="81">
        <f t="shared" si="48"/>
        <v>0</v>
      </c>
      <c r="P73" s="81">
        <f t="shared" si="50"/>
        <v>0</v>
      </c>
      <c r="Q73" s="81">
        <f t="shared" si="50"/>
        <v>0</v>
      </c>
      <c r="R73" s="81">
        <f t="shared" si="50"/>
        <v>0</v>
      </c>
      <c r="S73" s="81">
        <f t="shared" si="50"/>
        <v>0</v>
      </c>
      <c r="T73" s="81">
        <f t="shared" si="50"/>
        <v>0</v>
      </c>
      <c r="U73" s="81">
        <f t="shared" si="50"/>
        <v>0</v>
      </c>
      <c r="V73" s="81">
        <f t="shared" si="50"/>
        <v>0</v>
      </c>
      <c r="W73" s="81">
        <f t="shared" si="50"/>
        <v>0</v>
      </c>
      <c r="X73" s="81">
        <f t="shared" si="50"/>
        <v>0</v>
      </c>
      <c r="Y73" s="81">
        <f t="shared" si="50"/>
        <v>0</v>
      </c>
      <c r="Z73" s="81">
        <f t="shared" si="50"/>
        <v>0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24" customHeight="1">
      <c r="A74" s="130"/>
      <c r="B74" s="115" t="s">
        <v>105</v>
      </c>
      <c r="C74" s="95" t="s">
        <v>92</v>
      </c>
      <c r="D74" s="128">
        <f t="shared" si="46"/>
        <v>0</v>
      </c>
      <c r="E74" s="89">
        <f aca="true" t="shared" si="51" ref="E74:G75">T74</f>
        <v>0</v>
      </c>
      <c r="F74" s="89">
        <f t="shared" si="51"/>
        <v>0</v>
      </c>
      <c r="G74" s="89">
        <f t="shared" si="51"/>
        <v>0</v>
      </c>
      <c r="H74" s="89">
        <f>J74+O74</f>
        <v>0</v>
      </c>
      <c r="I74" s="133">
        <f>K74+L74+M74</f>
        <v>0</v>
      </c>
      <c r="J74" s="133">
        <f t="shared" si="49"/>
        <v>0</v>
      </c>
      <c r="K74" s="134">
        <v>0</v>
      </c>
      <c r="L74" s="134">
        <v>0</v>
      </c>
      <c r="M74" s="134">
        <v>0</v>
      </c>
      <c r="N74" s="131">
        <f>P74+Q74+R74</f>
        <v>0</v>
      </c>
      <c r="O74" s="131">
        <f t="shared" si="48"/>
        <v>0</v>
      </c>
      <c r="P74" s="132">
        <v>0</v>
      </c>
      <c r="Q74" s="132">
        <f>3759.51-3759.51</f>
        <v>0</v>
      </c>
      <c r="R74" s="135">
        <f>197.869-197.869</f>
        <v>0</v>
      </c>
      <c r="S74" s="131">
        <f>T74+U74+V74</f>
        <v>0</v>
      </c>
      <c r="T74" s="132">
        <v>0</v>
      </c>
      <c r="U74" s="132">
        <v>0</v>
      </c>
      <c r="V74" s="132">
        <v>0</v>
      </c>
      <c r="W74" s="131">
        <f>X74+Y74+Z74</f>
        <v>0</v>
      </c>
      <c r="X74" s="132">
        <v>0</v>
      </c>
      <c r="Y74" s="132">
        <v>0</v>
      </c>
      <c r="Z74" s="132">
        <v>0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26" s="3" customFormat="1" ht="36">
      <c r="A75" s="137" t="s">
        <v>123</v>
      </c>
      <c r="B75" s="138" t="s">
        <v>124</v>
      </c>
      <c r="C75" s="139" t="s">
        <v>92</v>
      </c>
      <c r="D75" s="84">
        <f t="shared" si="46"/>
        <v>0</v>
      </c>
      <c r="E75" s="85">
        <f t="shared" si="51"/>
        <v>0</v>
      </c>
      <c r="F75" s="85">
        <f t="shared" si="51"/>
        <v>0</v>
      </c>
      <c r="G75" s="85">
        <f t="shared" si="51"/>
        <v>0</v>
      </c>
      <c r="H75" s="85">
        <f>J75+O75</f>
        <v>0</v>
      </c>
      <c r="I75" s="84">
        <f>K75+L75+M75</f>
        <v>0</v>
      </c>
      <c r="J75" s="84">
        <f t="shared" si="49"/>
        <v>0</v>
      </c>
      <c r="K75" s="85">
        <v>0</v>
      </c>
      <c r="L75" s="85">
        <v>0</v>
      </c>
      <c r="M75" s="85">
        <v>0</v>
      </c>
      <c r="N75" s="84">
        <f>P75+Q75+R75</f>
        <v>0</v>
      </c>
      <c r="O75" s="84">
        <f t="shared" si="48"/>
        <v>0</v>
      </c>
      <c r="P75" s="85">
        <v>0</v>
      </c>
      <c r="Q75" s="85">
        <v>0</v>
      </c>
      <c r="R75" s="136">
        <f>3000-3000</f>
        <v>0</v>
      </c>
      <c r="S75" s="81">
        <f>T75+U75+V75</f>
        <v>0</v>
      </c>
      <c r="T75" s="85">
        <v>0</v>
      </c>
      <c r="U75" s="85">
        <v>0</v>
      </c>
      <c r="V75" s="85">
        <v>0</v>
      </c>
      <c r="W75" s="81">
        <f>X75+Y75+Z75</f>
        <v>0</v>
      </c>
      <c r="X75" s="85">
        <v>0</v>
      </c>
      <c r="Y75" s="85">
        <v>0</v>
      </c>
      <c r="Z75" s="85">
        <v>0</v>
      </c>
    </row>
    <row r="76" spans="2:5" ht="11.25">
      <c r="B76" s="1"/>
      <c r="E76" s="1" t="s">
        <v>121</v>
      </c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  <row r="103" ht="11.25">
      <c r="B103" s="1"/>
    </row>
    <row r="104" ht="11.25">
      <c r="B104" s="1"/>
    </row>
    <row r="105" ht="11.25">
      <c r="B105" s="1"/>
    </row>
    <row r="106" ht="11.25">
      <c r="B106" s="1"/>
    </row>
    <row r="107" ht="11.25">
      <c r="B107" s="1"/>
    </row>
    <row r="108" ht="11.25">
      <c r="B108" s="1"/>
    </row>
    <row r="109" ht="11.25">
      <c r="B109" s="1"/>
    </row>
    <row r="110" ht="11.25">
      <c r="B110" s="1"/>
    </row>
    <row r="111" ht="11.25">
      <c r="B111" s="1"/>
    </row>
    <row r="112" ht="11.25">
      <c r="B112" s="1"/>
    </row>
    <row r="113" ht="11.25">
      <c r="B113" s="1"/>
    </row>
    <row r="114" ht="11.25">
      <c r="B114" s="1"/>
    </row>
    <row r="115" ht="11.25">
      <c r="B115" s="1"/>
    </row>
    <row r="116" ht="11.25">
      <c r="B116" s="1"/>
    </row>
    <row r="117" ht="11.25">
      <c r="B117" s="1"/>
    </row>
    <row r="118" ht="11.25">
      <c r="B118" s="1"/>
    </row>
    <row r="119" ht="11.25">
      <c r="B119" s="1"/>
    </row>
    <row r="120" ht="11.25">
      <c r="B120" s="1"/>
    </row>
    <row r="121" ht="11.25">
      <c r="B121" s="1"/>
    </row>
    <row r="122" ht="11.25">
      <c r="B122" s="1"/>
    </row>
    <row r="123" ht="11.25">
      <c r="B123" s="1"/>
    </row>
    <row r="124" ht="11.25">
      <c r="B124" s="1"/>
    </row>
    <row r="125" ht="11.25">
      <c r="B125" s="1"/>
    </row>
    <row r="126" ht="11.25">
      <c r="B126" s="1"/>
    </row>
  </sheetData>
  <sheetProtection/>
  <mergeCells count="11">
    <mergeCell ref="I6:M6"/>
    <mergeCell ref="N6:R6"/>
    <mergeCell ref="S6:V6"/>
    <mergeCell ref="W1:Z3"/>
    <mergeCell ref="D4:H5"/>
    <mergeCell ref="D6:H6"/>
    <mergeCell ref="W6:Z6"/>
    <mergeCell ref="A1:V1"/>
    <mergeCell ref="A4:A7"/>
    <mergeCell ref="B4:B7"/>
    <mergeCell ref="C4:C7"/>
  </mergeCells>
  <printOptions/>
  <pageMargins left="0.3937007874015748" right="0.1968503937007874" top="0.7480314960629921" bottom="0.7874015748031497" header="0.31496062992125984" footer="0.8661417322834646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0.28125" style="0" customWidth="1"/>
    <col min="3" max="3" width="14.140625" style="0" customWidth="1"/>
    <col min="4" max="4" width="15.421875" style="0" customWidth="1"/>
    <col min="5" max="5" width="14.28125" style="0" customWidth="1"/>
    <col min="6" max="6" width="14.28125" style="40" customWidth="1"/>
    <col min="7" max="7" width="14.140625" style="0" customWidth="1"/>
    <col min="8" max="8" width="12.00390625" style="0" bestFit="1" customWidth="1"/>
  </cols>
  <sheetData>
    <row r="1" spans="1:7" ht="15">
      <c r="A1" s="41"/>
      <c r="B1" s="41"/>
      <c r="C1" s="41"/>
      <c r="D1" s="41"/>
      <c r="E1" s="41"/>
      <c r="F1" s="41"/>
      <c r="G1" s="41"/>
    </row>
    <row r="2" spans="1:7" ht="15">
      <c r="A2" s="41"/>
      <c r="B2" s="41"/>
      <c r="C2" s="42"/>
      <c r="D2" s="43"/>
      <c r="E2" s="43"/>
      <c r="F2" s="43"/>
      <c r="G2" s="41"/>
    </row>
    <row r="3" spans="1:7" ht="15.75">
      <c r="A3" s="44" t="s">
        <v>75</v>
      </c>
      <c r="B3" s="45"/>
      <c r="C3" s="46">
        <v>2019</v>
      </c>
      <c r="D3" s="47">
        <v>2020</v>
      </c>
      <c r="E3" s="47">
        <v>2021</v>
      </c>
      <c r="F3" s="46">
        <v>2022</v>
      </c>
      <c r="G3" s="48" t="s">
        <v>76</v>
      </c>
    </row>
    <row r="4" spans="1:7" ht="15">
      <c r="A4" s="49" t="s">
        <v>0</v>
      </c>
      <c r="B4" s="45"/>
      <c r="C4" s="39">
        <f>'1 подпр'!I8</f>
        <v>16231.5841</v>
      </c>
      <c r="D4" s="39">
        <f>'1 подпр'!N8</f>
        <v>48754.82274</v>
      </c>
      <c r="E4" s="39">
        <f>'1 подпр'!V8</f>
        <v>3160</v>
      </c>
      <c r="F4" s="39">
        <f>'1 подпр'!Z8</f>
        <v>3286.8</v>
      </c>
      <c r="G4" s="38">
        <f>'1 подпр'!D8</f>
        <v>71433.20684</v>
      </c>
    </row>
    <row r="5" spans="1:7" ht="15">
      <c r="A5" s="49" t="s">
        <v>39</v>
      </c>
      <c r="B5" s="45"/>
      <c r="C5" s="69">
        <v>0</v>
      </c>
      <c r="D5" s="69">
        <f>'1 подпр'!K8</f>
        <v>0</v>
      </c>
      <c r="E5" s="69">
        <f>'1 подпр'!W8</f>
        <v>0</v>
      </c>
      <c r="F5" s="69">
        <f>'1 подпр'!AA8</f>
        <v>0</v>
      </c>
      <c r="G5" s="70">
        <f>'1 подпр'!E8</f>
        <v>0</v>
      </c>
    </row>
    <row r="6" spans="1:8" ht="15">
      <c r="A6" s="49" t="s">
        <v>40</v>
      </c>
      <c r="B6" s="45"/>
      <c r="C6" s="69">
        <v>0</v>
      </c>
      <c r="D6" s="69">
        <f>'1 подпр'!P8</f>
        <v>944.8</v>
      </c>
      <c r="E6" s="69">
        <f>'1 подпр'!X8</f>
        <v>944.8</v>
      </c>
      <c r="F6" s="69">
        <f>'1 подпр'!AB8</f>
        <v>944.8</v>
      </c>
      <c r="G6" s="70">
        <f>'1 подпр'!F8</f>
        <v>2834.3999999999996</v>
      </c>
      <c r="H6" s="119"/>
    </row>
    <row r="7" spans="1:8" ht="15">
      <c r="A7" s="49" t="s">
        <v>41</v>
      </c>
      <c r="B7" s="45"/>
      <c r="C7" s="69">
        <v>0</v>
      </c>
      <c r="D7" s="69">
        <f>'1 подпр'!Q8</f>
        <v>2120</v>
      </c>
      <c r="E7" s="69">
        <f>'1 подпр'!Y8</f>
        <v>2215.2</v>
      </c>
      <c r="F7" s="69">
        <f>'1 подпр'!AC8</f>
        <v>2342</v>
      </c>
      <c r="G7" s="70">
        <f>'1 подпр'!G8</f>
        <v>6677.2</v>
      </c>
      <c r="H7" s="119"/>
    </row>
    <row r="8" spans="1:8" s="40" customFormat="1" ht="15">
      <c r="A8" s="49" t="s">
        <v>119</v>
      </c>
      <c r="B8" s="45"/>
      <c r="C8" s="69">
        <f>'1 подпр'!J8</f>
        <v>16231.5841</v>
      </c>
      <c r="D8" s="69">
        <f>'1 подпр'!R8</f>
        <v>45690.02274</v>
      </c>
      <c r="E8" s="69">
        <v>0</v>
      </c>
      <c r="F8" s="69">
        <v>0</v>
      </c>
      <c r="G8" s="70">
        <f>'1 подпр'!H8</f>
        <v>61921.60683999999</v>
      </c>
      <c r="H8" s="119"/>
    </row>
    <row r="9" spans="1:8" ht="15">
      <c r="A9" s="41"/>
      <c r="B9" s="41"/>
      <c r="C9" s="65"/>
      <c r="D9" s="66"/>
      <c r="E9" s="66"/>
      <c r="F9" s="66"/>
      <c r="G9" s="67"/>
      <c r="H9" s="119"/>
    </row>
    <row r="10" spans="1:8" ht="15.75">
      <c r="A10" s="50" t="s">
        <v>77</v>
      </c>
      <c r="B10" s="45"/>
      <c r="C10" s="54">
        <v>2019</v>
      </c>
      <c r="D10" s="55">
        <v>2020</v>
      </c>
      <c r="E10" s="55">
        <v>2021</v>
      </c>
      <c r="F10" s="54">
        <v>2022</v>
      </c>
      <c r="G10" s="68"/>
      <c r="H10" s="119"/>
    </row>
    <row r="11" spans="1:8" ht="15">
      <c r="A11" s="49" t="s">
        <v>0</v>
      </c>
      <c r="B11" s="45"/>
      <c r="C11" s="39">
        <f>'2 подпр '!I8</f>
        <v>29323.61162</v>
      </c>
      <c r="D11" s="39">
        <f>'2 подпр '!N8</f>
        <v>93648.57904</v>
      </c>
      <c r="E11" s="39">
        <f>'2 подпр '!S8</f>
        <v>0</v>
      </c>
      <c r="F11" s="39">
        <f>'2 подпр '!W8</f>
        <v>0</v>
      </c>
      <c r="G11" s="39">
        <f>'2 подпр '!D8</f>
        <v>122972.19066000001</v>
      </c>
      <c r="H11" s="119"/>
    </row>
    <row r="12" spans="1:8" ht="15">
      <c r="A12" s="49" t="s">
        <v>39</v>
      </c>
      <c r="B12" s="45"/>
      <c r="C12" s="69">
        <v>0</v>
      </c>
      <c r="D12" s="71">
        <f>'2 подпр '!P8</f>
        <v>0</v>
      </c>
      <c r="E12" s="71">
        <f>'2 подпр '!T8</f>
        <v>0</v>
      </c>
      <c r="F12" s="69">
        <f>'2 подпр '!X8</f>
        <v>0</v>
      </c>
      <c r="G12" s="70">
        <f>'2 подпр '!E8</f>
        <v>0</v>
      </c>
      <c r="H12" s="119"/>
    </row>
    <row r="13" spans="1:8" ht="15">
      <c r="A13" s="49" t="s">
        <v>40</v>
      </c>
      <c r="B13" s="45"/>
      <c r="C13" s="69">
        <v>0</v>
      </c>
      <c r="D13" s="71">
        <v>0</v>
      </c>
      <c r="E13" s="71">
        <f>'2 подпр '!U8</f>
        <v>0</v>
      </c>
      <c r="F13" s="69">
        <f>'2 подпр '!Y8</f>
        <v>0</v>
      </c>
      <c r="G13" s="70">
        <f>'2 подпр '!F8</f>
        <v>0</v>
      </c>
      <c r="H13" s="119"/>
    </row>
    <row r="14" spans="1:8" ht="15">
      <c r="A14" s="49" t="s">
        <v>41</v>
      </c>
      <c r="B14" s="45"/>
      <c r="C14" s="69">
        <v>0</v>
      </c>
      <c r="D14" s="71">
        <v>0</v>
      </c>
      <c r="E14" s="71">
        <f>'2 подпр '!V8</f>
        <v>0</v>
      </c>
      <c r="F14" s="69">
        <f>'2 подпр '!Z8</f>
        <v>0</v>
      </c>
      <c r="G14" s="70">
        <f>'2 подпр '!G8</f>
        <v>0</v>
      </c>
      <c r="H14" s="119"/>
    </row>
    <row r="15" spans="1:8" s="40" customFormat="1" ht="15">
      <c r="A15" s="49" t="s">
        <v>119</v>
      </c>
      <c r="B15" s="45"/>
      <c r="C15" s="69">
        <f>'2 подпр '!J8</f>
        <v>29323.61162</v>
      </c>
      <c r="D15" s="71">
        <f>'2 подпр '!O8</f>
        <v>93648.57904</v>
      </c>
      <c r="E15" s="71">
        <v>0</v>
      </c>
      <c r="F15" s="69">
        <v>0</v>
      </c>
      <c r="G15" s="70">
        <f>'2 подпр '!H8</f>
        <v>122972.19066000001</v>
      </c>
      <c r="H15" s="119"/>
    </row>
    <row r="16" spans="1:8" ht="15">
      <c r="A16" s="41"/>
      <c r="B16" s="41"/>
      <c r="C16" s="65"/>
      <c r="D16" s="66"/>
      <c r="E16" s="66"/>
      <c r="F16" s="66"/>
      <c r="G16" s="67"/>
      <c r="H16" s="119"/>
    </row>
    <row r="17" spans="1:8" ht="15.75">
      <c r="A17" s="50"/>
      <c r="B17" s="45"/>
      <c r="C17" s="54">
        <v>2019</v>
      </c>
      <c r="D17" s="55">
        <v>2020</v>
      </c>
      <c r="E17" s="55">
        <v>2021</v>
      </c>
      <c r="F17" s="54">
        <v>2022</v>
      </c>
      <c r="G17" s="64"/>
      <c r="H17" s="119"/>
    </row>
    <row r="18" spans="1:8" ht="15">
      <c r="A18" s="49" t="s">
        <v>0</v>
      </c>
      <c r="B18" s="45"/>
      <c r="C18" s="39">
        <f>C4+C11</f>
        <v>45555.19572</v>
      </c>
      <c r="D18" s="39">
        <f>D4+D11</f>
        <v>142403.40178000001</v>
      </c>
      <c r="E18" s="39">
        <f>E4+E11</f>
        <v>3160</v>
      </c>
      <c r="F18" s="39">
        <f>F4+F11</f>
        <v>3286.8</v>
      </c>
      <c r="G18" s="39">
        <f>G4+G11</f>
        <v>194405.39750000002</v>
      </c>
      <c r="H18" s="119"/>
    </row>
    <row r="19" spans="1:8" ht="15">
      <c r="A19" s="49" t="s">
        <v>39</v>
      </c>
      <c r="B19" s="45"/>
      <c r="C19" s="69">
        <v>0</v>
      </c>
      <c r="D19" s="69">
        <f aca="true" t="shared" si="0" ref="D19:G21">D5+D12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119"/>
    </row>
    <row r="20" spans="1:8" ht="15">
      <c r="A20" s="49" t="s">
        <v>40</v>
      </c>
      <c r="B20" s="45"/>
      <c r="C20" s="69">
        <f>C6+C13</f>
        <v>0</v>
      </c>
      <c r="D20" s="69">
        <f t="shared" si="0"/>
        <v>944.8</v>
      </c>
      <c r="E20" s="69">
        <f t="shared" si="0"/>
        <v>944.8</v>
      </c>
      <c r="F20" s="69">
        <f t="shared" si="0"/>
        <v>944.8</v>
      </c>
      <c r="G20" s="69">
        <f t="shared" si="0"/>
        <v>2834.3999999999996</v>
      </c>
      <c r="H20" s="119"/>
    </row>
    <row r="21" spans="1:8" ht="15">
      <c r="A21" s="49" t="s">
        <v>41</v>
      </c>
      <c r="B21" s="45"/>
      <c r="C21" s="69">
        <f>C7+C14</f>
        <v>0</v>
      </c>
      <c r="D21" s="69">
        <f>D7+D14</f>
        <v>2120</v>
      </c>
      <c r="E21" s="69">
        <f t="shared" si="0"/>
        <v>2215.2</v>
      </c>
      <c r="F21" s="69">
        <f t="shared" si="0"/>
        <v>2342</v>
      </c>
      <c r="G21" s="69">
        <f t="shared" si="0"/>
        <v>6677.2</v>
      </c>
      <c r="H21" s="119"/>
    </row>
    <row r="22" spans="1:8" s="40" customFormat="1" ht="15">
      <c r="A22" s="49" t="s">
        <v>119</v>
      </c>
      <c r="B22" s="45"/>
      <c r="C22" s="69">
        <f>'1 подпр'!J8+'2 подпр '!J8</f>
        <v>45555.19572</v>
      </c>
      <c r="D22" s="69">
        <f>'1 подпр'!R8+'2 подпр '!O8</f>
        <v>139338.60178</v>
      </c>
      <c r="E22" s="69">
        <v>0</v>
      </c>
      <c r="F22" s="69">
        <v>0</v>
      </c>
      <c r="G22" s="69">
        <f>SUM(C22:F22)</f>
        <v>184893.7975</v>
      </c>
      <c r="H22" s="119"/>
    </row>
    <row r="23" spans="1:8" ht="15">
      <c r="A23" s="41"/>
      <c r="B23" s="41"/>
      <c r="C23" s="51"/>
      <c r="D23" s="56"/>
      <c r="E23" s="56"/>
      <c r="F23" s="56"/>
      <c r="G23" s="57"/>
      <c r="H23" s="58"/>
    </row>
    <row r="24" spans="1:8" ht="15">
      <c r="A24" s="41"/>
      <c r="B24" s="41"/>
      <c r="C24" s="53"/>
      <c r="D24" s="52"/>
      <c r="E24" s="52"/>
      <c r="F24" s="52"/>
      <c r="G24" s="59"/>
      <c r="H24" s="58"/>
    </row>
    <row r="25" spans="1:8" ht="15">
      <c r="A25" s="41"/>
      <c r="B25" s="41"/>
      <c r="C25" s="60"/>
      <c r="D25" s="61"/>
      <c r="E25" s="61"/>
      <c r="F25" s="61"/>
      <c r="G25" s="62"/>
      <c r="H25" s="58"/>
    </row>
    <row r="26" spans="1:8" ht="15">
      <c r="A26" s="41"/>
      <c r="B26" s="41"/>
      <c r="C26" s="60"/>
      <c r="D26" s="51"/>
      <c r="E26" s="51"/>
      <c r="F26" s="51"/>
      <c r="G26" s="51"/>
      <c r="H26" s="58"/>
    </row>
    <row r="27" spans="1:8" ht="15">
      <c r="A27" s="41"/>
      <c r="B27" s="41"/>
      <c r="C27" s="60"/>
      <c r="D27" s="63"/>
      <c r="E27" s="63"/>
      <c r="F27" s="63"/>
      <c r="G27" s="63"/>
      <c r="H27" s="58"/>
    </row>
    <row r="28" spans="1:8" ht="15">
      <c r="A28" s="30"/>
      <c r="B28" s="30"/>
      <c r="C28" s="35"/>
      <c r="D28" s="34"/>
      <c r="E28" s="34"/>
      <c r="F28" s="62"/>
      <c r="G28" s="34"/>
      <c r="H28" s="33"/>
    </row>
    <row r="29" spans="1:7" ht="15">
      <c r="A29" s="30"/>
      <c r="B29" s="30"/>
      <c r="C29" s="31"/>
      <c r="D29" s="30"/>
      <c r="E29" s="30"/>
      <c r="F29" s="41"/>
      <c r="G29" s="30"/>
    </row>
    <row r="30" spans="1:7" ht="15">
      <c r="A30" s="30"/>
      <c r="B30" s="30"/>
      <c r="C30" s="30"/>
      <c r="D30" s="30"/>
      <c r="E30" s="30"/>
      <c r="F30" s="41"/>
      <c r="G30" s="3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Lunev</dc:creator>
  <cp:keywords/>
  <dc:description/>
  <cp:lastModifiedBy>Людмила В. Сорокина</cp:lastModifiedBy>
  <cp:lastPrinted>2020-10-09T11:49:06Z</cp:lastPrinted>
  <dcterms:created xsi:type="dcterms:W3CDTF">2013-09-29T11:17:01Z</dcterms:created>
  <dcterms:modified xsi:type="dcterms:W3CDTF">2020-10-16T08:35:14Z</dcterms:modified>
  <cp:category/>
  <cp:version/>
  <cp:contentType/>
  <cp:contentStatus/>
</cp:coreProperties>
</file>